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ver" sheetId="1" state="visible" r:id="rId3"/>
    <sheet name="Outputs" sheetId="2" state="visible" r:id="rId4"/>
    <sheet name="Assumptions" sheetId="3" state="visible" r:id="rId5"/>
    <sheet name="P&amp;L" sheetId="4" state="visible" r:id="rId6"/>
    <sheet name="Balance Sheet" sheetId="5" state="visible" r:id="rId7"/>
    <sheet name="Cash Flow" sheetId="6" state="visible" r:id="rId8"/>
    <sheet name="Schedules" sheetId="7" state="visible" r:id="rId9"/>
  </sheets>
  <definedNames>
    <definedName function="false" hidden="false" localSheetId="1" name="_xlnm.Print_Area" vbProcedure="false">Outputs!$A$1:$I$54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<sst xmlns="http://schemas.openxmlformats.org/spreadsheetml/2006/main" count="312" uniqueCount="225">
  <si>
    <t xml:space="preserve">Kestrel Nutrition Kft.</t>
  </si>
  <si>
    <t xml:space="preserve">FIVE-YEAR OPERATING MODEL</t>
  </si>
  <si>
    <t xml:space="preserve">Integrated profit &amp; loss, balance sheet and cash flow  ·  FY2024A – FY2030E</t>
  </si>
  <si>
    <t xml:space="preserve">Purpose</t>
  </si>
  <si>
    <t xml:space="preserve">Budget, bank refinancing and scenario testing</t>
  </si>
  <si>
    <t xml:space="preserve">Structure</t>
  </si>
  <si>
    <t xml:space="preserve">Three fully linked statements with supporting schedules</t>
  </si>
  <si>
    <t xml:space="preserve">Scenarios</t>
  </si>
  <si>
    <t xml:space="preserve">Base, upside and downside — one switch drives the whole model</t>
  </si>
  <si>
    <t xml:space="preserve">Currency</t>
  </si>
  <si>
    <t xml:space="preserve">EUR, presented in thousands</t>
  </si>
  <si>
    <t xml:space="preserve">Prepared by</t>
  </si>
  <si>
    <t xml:space="preserve">Tarlan Charkasov, ACCA</t>
  </si>
  <si>
    <t xml:space="preserve">Version</t>
  </si>
  <si>
    <t xml:space="preserve">1.0  ·  July 2026</t>
  </si>
  <si>
    <t xml:space="preserve">HOW THIS MODEL IS BUILT</t>
  </si>
  <si>
    <t xml:space="preserve">Assumptions</t>
  </si>
  <si>
    <t xml:space="preserve">Every input in the model sits here, in blue. Nothing is hardcoded inside a statement.</t>
  </si>
  <si>
    <t xml:space="preserve">Schedules</t>
  </si>
  <si>
    <t xml:space="preserve">Fixed assets, right-of-use assets, bank debt, leases, working capital, tax and equity roll-forwards.</t>
  </si>
  <si>
    <t xml:space="preserve">P&amp;L</t>
  </si>
  <si>
    <t xml:space="preserve">Two years of actuals and five forecast years, driven entirely by the assumptions.</t>
  </si>
  <si>
    <t xml:space="preserve">Balance Sheet</t>
  </si>
  <si>
    <t xml:space="preserve">Every balance flows from a schedule. The check row is nil in all seven years.</t>
  </si>
  <si>
    <t xml:space="preserve">Cash Flow</t>
  </si>
  <si>
    <t xml:space="preserve">Indirect method, derived from the statements — no plugs anywhere.</t>
  </si>
  <si>
    <t xml:space="preserve">Outputs</t>
  </si>
  <si>
    <t xml:space="preserve">Headline summary, credit metrics, charts and integrity checks.</t>
  </si>
  <si>
    <t xml:space="preserve">MODELLING CONVENTIONS</t>
  </si>
  <si>
    <t xml:space="preserve">Blue text</t>
  </si>
  <si>
    <t xml:space="preserve">Hardcoded input — safe to change</t>
  </si>
  <si>
    <t xml:space="preserve">Black text</t>
  </si>
  <si>
    <t xml:space="preserve">Formula — do not overwrite</t>
  </si>
  <si>
    <t xml:space="preserve">Costs</t>
  </si>
  <si>
    <t xml:space="preserve">Shown as negative figures throughout</t>
  </si>
  <si>
    <t xml:space="preserve">Interest</t>
  </si>
  <si>
    <t xml:space="preserve">Charged on opening balances, so the model contains no circular references</t>
  </si>
  <si>
    <t xml:space="preserve">Cash</t>
  </si>
  <si>
    <t xml:space="preserve">The balancing item; there is no revolver and no plug line</t>
  </si>
  <si>
    <t xml:space="preserve">SAMPLE DOCUMENT.  Kestrel Nutrition Kft. is a fictional company and every figure in this model is illustrative. It is published as a work sample to show model architecture and financial logic — no client data appears anywhere in this file.</t>
  </si>
  <si>
    <t xml:space="preserve">Kestrel Nutrition Kft. — Output summary</t>
  </si>
  <si>
    <t xml:space="preserve">Headline forecast, credit metrics and integrity checks  |  EUR '000</t>
  </si>
  <si>
    <t xml:space="preserve">Scenario in force</t>
  </si>
  <si>
    <t xml:space="preserve">Change the switch on the Assumptions tab (cell C5) to reflex the whole model.</t>
  </si>
  <si>
    <t xml:space="preserve">EUR '000 unless stated</t>
  </si>
  <si>
    <t xml:space="preserve">FY2024A</t>
  </si>
  <si>
    <t xml:space="preserve">FY2025A</t>
  </si>
  <si>
    <t xml:space="preserve">FY2026E</t>
  </si>
  <si>
    <t xml:space="preserve">FY2027E</t>
  </si>
  <si>
    <t xml:space="preserve">FY2028E</t>
  </si>
  <si>
    <t xml:space="preserve">FY2029E</t>
  </si>
  <si>
    <t xml:space="preserve">FY2030E</t>
  </si>
  <si>
    <t xml:space="preserve">Trading</t>
  </si>
  <si>
    <t xml:space="preserve">Net revenue</t>
  </si>
  <si>
    <t xml:space="preserve">Revenue growth</t>
  </si>
  <si>
    <t xml:space="preserve">Gross margin</t>
  </si>
  <si>
    <t xml:space="preserve">EBITDA</t>
  </si>
  <si>
    <t xml:space="preserve">EBITDA margin</t>
  </si>
  <si>
    <t xml:space="preserve">EBIT</t>
  </si>
  <si>
    <t xml:space="preserve">Profit for the year</t>
  </si>
  <si>
    <t xml:space="preserve">Cash &amp; capital</t>
  </si>
  <si>
    <t xml:space="preserve">Cash generated from operations</t>
  </si>
  <si>
    <t xml:space="preserve">Capital expenditure</t>
  </si>
  <si>
    <t xml:space="preserve">Free cash flow before financing</t>
  </si>
  <si>
    <t xml:space="preserve">Closing cash</t>
  </si>
  <si>
    <t xml:space="preserve">Credit metrics</t>
  </si>
  <si>
    <t xml:space="preserve">Net debt</t>
  </si>
  <si>
    <t xml:space="preserve">Bank debt plus lease liabilities, less cash</t>
  </si>
  <si>
    <t xml:space="preserve">Net debt / EBITDA</t>
  </si>
  <si>
    <t xml:space="preserve">EBITDA interest cover</t>
  </si>
  <si>
    <t xml:space="preserve">Return on capital employed</t>
  </si>
  <si>
    <t xml:space="preserve">EBIT over equity plus net debt</t>
  </si>
  <si>
    <t xml:space="preserve">Integrity checks</t>
  </si>
  <si>
    <t xml:space="preserve">Balance sheet balances</t>
  </si>
  <si>
    <t xml:space="preserve">Cash flow ties to the balance sheet</t>
  </si>
  <si>
    <t xml:space="preserve">Cash above the EUR 250k minimum</t>
  </si>
  <si>
    <t xml:space="preserve">Leverage inside the 2.25x covenant</t>
  </si>
  <si>
    <t xml:space="preserve">Chart feed</t>
  </si>
  <si>
    <t xml:space="preserve">Year</t>
  </si>
  <si>
    <t xml:space="preserve">Kestrel Nutrition Kft. — Model assumptions</t>
  </si>
  <si>
    <t xml:space="preserve">Blue cells are inputs. Change the scenario switch below to flex the whole model.</t>
  </si>
  <si>
    <t xml:space="preserve">SCENARIO SWITCH</t>
  </si>
  <si>
    <t xml:space="preserve">1 = Base case    2 = Upside    3 = Downside</t>
  </si>
  <si>
    <t xml:space="preserve">SCENARIO TABLE — the three levers that drive the case</t>
  </si>
  <si>
    <t xml:space="preserve">Net revenue growth</t>
  </si>
  <si>
    <t xml:space="preserve">   Base</t>
  </si>
  <si>
    <t xml:space="preserve">   Upside</t>
  </si>
  <si>
    <t xml:space="preserve">   Downside</t>
  </si>
  <si>
    <t xml:space="preserve">Sales &amp; marketing (% of net revenue)</t>
  </si>
  <si>
    <t xml:space="preserve">ACTIVE DRIVERS — selected by the scenario switch</t>
  </si>
  <si>
    <t xml:space="preserve">Driven by the switch in cell C5</t>
  </si>
  <si>
    <t xml:space="preserve">OPERATING COSTS</t>
  </si>
  <si>
    <t xml:space="preserve">Distribution &amp; logistics (% of net revenue)</t>
  </si>
  <si>
    <t xml:space="preserve">Personnel cost growth</t>
  </si>
  <si>
    <t xml:space="preserve">Headcount plus CEE wage inflation</t>
  </si>
  <si>
    <t xml:space="preserve">Other operating expense growth</t>
  </si>
  <si>
    <t xml:space="preserve">CAPITAL EXPENDITURE &amp; DEPRECIATION</t>
  </si>
  <si>
    <t xml:space="preserve">Capex (% of net revenue)</t>
  </si>
  <si>
    <t xml:space="preserve">Depreciation rate (% of opening PP&amp;E and intangibles)</t>
  </si>
  <si>
    <t xml:space="preserve">Right-of-use asset amortisation</t>
  </si>
  <si>
    <t xml:space="preserve">Straight line over the remaining property lease term</t>
  </si>
  <si>
    <t xml:space="preserve">WORKING CAPITAL — 365 day basis</t>
  </si>
  <si>
    <t xml:space="preserve">Days sales outstanding</t>
  </si>
  <si>
    <t xml:space="preserve">Collection improvement plan; FY2025 actual was 84 days</t>
  </si>
  <si>
    <t xml:space="preserve">Days inventory outstanding</t>
  </si>
  <si>
    <t xml:space="preserve">Days payables outstanding</t>
  </si>
  <si>
    <t xml:space="preserve">Supplier terms are stretched; a negotiated unwind is assumed</t>
  </si>
  <si>
    <t xml:space="preserve">Other receivables (% of net revenue)</t>
  </si>
  <si>
    <t xml:space="preserve">Accruals (% of cash operating costs)</t>
  </si>
  <si>
    <t xml:space="preserve">FINANCING &amp; TAX</t>
  </si>
  <si>
    <t xml:space="preserve">Bank loan repayment</t>
  </si>
  <si>
    <t xml:space="preserve">Contractual amortisation</t>
  </si>
  <si>
    <t xml:space="preserve">Interest rate on bank debt</t>
  </si>
  <si>
    <t xml:space="preserve">Facility repriced on refinancing; the legacy blended rate was lower</t>
  </si>
  <si>
    <t xml:space="preserve">Interest rate on lease liabilities</t>
  </si>
  <si>
    <t xml:space="preserve">Annual lease payment</t>
  </si>
  <si>
    <t xml:space="preserve">Interest earned on cash</t>
  </si>
  <si>
    <t xml:space="preserve">Effective tax rate</t>
  </si>
  <si>
    <t xml:space="preserve">Tax charge unpaid at year end</t>
  </si>
  <si>
    <t xml:space="preserve">Final quarter instalment settled after the year end</t>
  </si>
  <si>
    <t xml:space="preserve">Dividend payout (% of net profit)</t>
  </si>
  <si>
    <t xml:space="preserve">No distribution until leverage is below 1.0x</t>
  </si>
  <si>
    <t xml:space="preserve">Prepared by Tarlan Charkasov, ACCA.  Kestrel Nutrition Kft. is a fictional company; every figure is illustrative and no client data appears in this file.</t>
  </si>
  <si>
    <t xml:space="preserve">Kestrel Nutrition Kft. — Profit &amp; loss account</t>
  </si>
  <si>
    <t xml:space="preserve">Two years of actuals and a five year forecast  |  EUR '000</t>
  </si>
  <si>
    <t xml:space="preserve">EUR '000</t>
  </si>
  <si>
    <t xml:space="preserve">Growth</t>
  </si>
  <si>
    <t xml:space="preserve">Gross profit</t>
  </si>
  <si>
    <t xml:space="preserve">Cost of goods sold</t>
  </si>
  <si>
    <t xml:space="preserve">Distribution &amp; logistics</t>
  </si>
  <si>
    <t xml:space="preserve">Sales &amp; marketing</t>
  </si>
  <si>
    <t xml:space="preserve">Personnel costs</t>
  </si>
  <si>
    <t xml:space="preserve">Other operating expenses</t>
  </si>
  <si>
    <t xml:space="preserve">Total cash operating costs</t>
  </si>
  <si>
    <t xml:space="preserve">Depreciation &amp; amortisation</t>
  </si>
  <si>
    <t xml:space="preserve">Interest on bank debt</t>
  </si>
  <si>
    <t xml:space="preserve">Interest on lease liabilities</t>
  </si>
  <si>
    <t xml:space="preserve">Interest income on cash</t>
  </si>
  <si>
    <t xml:space="preserve">Net finance costs</t>
  </si>
  <si>
    <t xml:space="preserve">Profit before tax</t>
  </si>
  <si>
    <t xml:space="preserve">Income tax</t>
  </si>
  <si>
    <t xml:space="preserve">Net margin</t>
  </si>
  <si>
    <t xml:space="preserve">Kestrel Nutrition Kft. — Balance sheet</t>
  </si>
  <si>
    <t xml:space="preserve">EUR '000  |  Forecast balances are driven by the schedules</t>
  </si>
  <si>
    <t xml:space="preserve">Non-current assets</t>
  </si>
  <si>
    <t xml:space="preserve">Property, plant, equipment &amp; intangibles</t>
  </si>
  <si>
    <t xml:space="preserve">Right-of-use assets</t>
  </si>
  <si>
    <t xml:space="preserve">Deferred tax assets</t>
  </si>
  <si>
    <t xml:space="preserve">Total non-current assets</t>
  </si>
  <si>
    <t xml:space="preserve">Current assets</t>
  </si>
  <si>
    <t xml:space="preserve">Inventory</t>
  </si>
  <si>
    <t xml:space="preserve">Trade receivables</t>
  </si>
  <si>
    <t xml:space="preserve">Other receivables &amp; prepayments</t>
  </si>
  <si>
    <t xml:space="preserve">Cash &amp; cash equivalents</t>
  </si>
  <si>
    <t xml:space="preserve">Total current assets</t>
  </si>
  <si>
    <t xml:space="preserve">TOTAL ASSETS</t>
  </si>
  <si>
    <t xml:space="preserve">Equity</t>
  </si>
  <si>
    <t xml:space="preserve">Share capital</t>
  </si>
  <si>
    <t xml:space="preserve">Retained earnings</t>
  </si>
  <si>
    <t xml:space="preserve">Total equity</t>
  </si>
  <si>
    <t xml:space="preserve">Non-current liabilities</t>
  </si>
  <si>
    <t xml:space="preserve">Bank loan</t>
  </si>
  <si>
    <t xml:space="preserve">Lease liabilities</t>
  </si>
  <si>
    <t xml:space="preserve">Provisions</t>
  </si>
  <si>
    <t xml:space="preserve">Total non-current liabilities</t>
  </si>
  <si>
    <t xml:space="preserve">Current liabilities</t>
  </si>
  <si>
    <t xml:space="preserve">Trade payables</t>
  </si>
  <si>
    <t xml:space="preserve">Accruals &amp; other payables</t>
  </si>
  <si>
    <t xml:space="preserve">Bank loan — current portion</t>
  </si>
  <si>
    <t xml:space="preserve">Lease liabilities — current</t>
  </si>
  <si>
    <t xml:space="preserve">Income tax payable</t>
  </si>
  <si>
    <t xml:space="preserve">Total current liabilities</t>
  </si>
  <si>
    <t xml:space="preserve">TOTAL EQUITY &amp; LIABILITIES</t>
  </si>
  <si>
    <t xml:space="preserve">CHECK — must be nil</t>
  </si>
  <si>
    <t xml:space="preserve">Kestrel Nutrition Kft. — Cash flow statement</t>
  </si>
  <si>
    <t xml:space="preserve">Indirect method  |  EUR '000  |  Every line is derived from the P&amp;L, balance sheet and schedules</t>
  </si>
  <si>
    <t xml:space="preserve">Operating activities</t>
  </si>
  <si>
    <t xml:space="preserve">Operating profit before working capital</t>
  </si>
  <si>
    <t xml:space="preserve">(Increase) / decrease in inventory</t>
  </si>
  <si>
    <t xml:space="preserve">(Increase) / decrease in trade receivables</t>
  </si>
  <si>
    <t xml:space="preserve">(Increase) / decrease in other receivables</t>
  </si>
  <si>
    <t xml:space="preserve">Increase / (decrease) in trade payables</t>
  </si>
  <si>
    <t xml:space="preserve">Increase / (decrease) in accruals</t>
  </si>
  <si>
    <t xml:space="preserve">Working capital movement</t>
  </si>
  <si>
    <t xml:space="preserve">Interest paid, net of interest received</t>
  </si>
  <si>
    <t xml:space="preserve">Tax paid</t>
  </si>
  <si>
    <t xml:space="preserve">Net cash from operating activities</t>
  </si>
  <si>
    <t xml:space="preserve">Investing activities</t>
  </si>
  <si>
    <t xml:space="preserve">Net cash used in investing activities</t>
  </si>
  <si>
    <t xml:space="preserve">Financing activities</t>
  </si>
  <si>
    <t xml:space="preserve">Repayment of bank borrowings</t>
  </si>
  <si>
    <t xml:space="preserve">Principal element of lease payments</t>
  </si>
  <si>
    <t xml:space="preserve">Dividends paid</t>
  </si>
  <si>
    <t xml:space="preserve">Net cash used in financing activities</t>
  </si>
  <si>
    <t xml:space="preserve">Net movement in cash</t>
  </si>
  <si>
    <t xml:space="preserve">Opening cash</t>
  </si>
  <si>
    <t xml:space="preserve">Operating cash less capital expenditure</t>
  </si>
  <si>
    <t xml:space="preserve">Kestrel Nutrition Kft. — Supporting schedules</t>
  </si>
  <si>
    <t xml:space="preserve">Fixed assets, leases, debt, working capital, tax and equity roll-forwards</t>
  </si>
  <si>
    <t xml:space="preserve">FIXED ASSETS — property, plant &amp; equipment and intangibles</t>
  </si>
  <si>
    <t xml:space="preserve">Opening net book value</t>
  </si>
  <si>
    <t xml:space="preserve">Depreciation &amp; amortisation charge</t>
  </si>
  <si>
    <t xml:space="preserve">Closing net book value</t>
  </si>
  <si>
    <t xml:space="preserve">RIGHT-OF-USE ASSETS</t>
  </si>
  <si>
    <t xml:space="preserve">Opening balance</t>
  </si>
  <si>
    <t xml:space="preserve">Amortisation</t>
  </si>
  <si>
    <t xml:space="preserve">Closing balance</t>
  </si>
  <si>
    <t xml:space="preserve">BANK DEBT</t>
  </si>
  <si>
    <t xml:space="preserve">Repayment</t>
  </si>
  <si>
    <t xml:space="preserve">   of which current portion</t>
  </si>
  <si>
    <t xml:space="preserve">   of which non-current</t>
  </si>
  <si>
    <t xml:space="preserve">Interest charge</t>
  </si>
  <si>
    <t xml:space="preserve">LEASE LIABILITIES</t>
  </si>
  <si>
    <t xml:space="preserve">Interest accretion</t>
  </si>
  <si>
    <t xml:space="preserve">Lease payments</t>
  </si>
  <si>
    <t xml:space="preserve">   principal element of payments</t>
  </si>
  <si>
    <t xml:space="preserve">Payment less the interest accretion</t>
  </si>
  <si>
    <t xml:space="preserve">WORKING CAPITAL</t>
  </si>
  <si>
    <t xml:space="preserve">TAX</t>
  </si>
  <si>
    <t xml:space="preserve">Opening tax payable</t>
  </si>
  <si>
    <t xml:space="preserve">Charge for the year</t>
  </si>
  <si>
    <t xml:space="preserve">Closing tax payable</t>
  </si>
  <si>
    <t xml:space="preserve">EQUITY</t>
  </si>
  <si>
    <t xml:space="preserve">Opening retained earnings</t>
  </si>
  <si>
    <t xml:space="preserve">Closing retained earnings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</si>
</sst>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;\(#,##0\);\-"/>
    <numFmt numFmtId="166" formatCode="0.0%;\(0.0%\);\-"/>
    <numFmt numFmtId="167" formatCode="0.00\x"/>
    <numFmt numFmtId="168" formatCode="0.0%"/>
    <numFmt numFmtId="169" formatCode="0.0%;\(0.0%\);\-"/>
    <numFmt numFmtId="170" formatCode="#,##0;\(#,##0\);\-"/>
    <numFmt numFmtId="171" formatCode="#,##0.0;\(#,##0.0\);\-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Arial"/>
      <family val="0"/>
      <charset val="1"/>
    </font>
    <font>
      <b val="true"/>
      <sz val="14"/>
      <color rgb="FF12293F"/>
      <name val="Arial"/>
      <family val="0"/>
      <charset val="1"/>
    </font>
    <font>
      <sz val="11"/>
      <color rgb="FF5A6672"/>
      <name val="Arial"/>
      <family val="0"/>
      <charset val="1"/>
    </font>
    <font>
      <b val="true"/>
      <sz val="10"/>
      <color rgb="FF12293F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12293F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5A6672"/>
      <name val="Arial"/>
      <family val="0"/>
      <charset val="1"/>
    </font>
    <font>
      <i val="true"/>
      <sz val="9"/>
      <color rgb="FF5A6672"/>
      <name val="Arial"/>
      <family val="0"/>
      <charset val="1"/>
    </font>
    <font>
      <b val="true"/>
      <sz val="15"/>
      <color rgb="FF12293F"/>
      <name val="Arial"/>
      <family val="0"/>
      <charset val="1"/>
    </font>
    <font>
      <b val="true"/>
      <sz val="12"/>
      <color rgb="FFB8873B"/>
      <name val="Arial"/>
      <family val="0"/>
      <charset val="1"/>
    </font>
    <font>
      <sz val="9"/>
      <color rgb="FF5A6672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0"/>
      <color rgb="FFB8873B"/>
      <name val="Arial"/>
      <family val="0"/>
      <charset val="1"/>
    </font>
    <font>
      <b val="true"/>
      <sz val="9"/>
      <color rgb="FF1E7A45"/>
      <name val="Arial"/>
      <family val="0"/>
      <charset val="1"/>
    </font>
    <font>
      <b val="true"/>
      <sz val="8"/>
      <color rgb="FF5A6672"/>
      <name val="Arial"/>
      <family val="0"/>
      <charset val="1"/>
    </font>
    <font>
      <sz val="8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2"/>
      <color rgb="FF0000FF"/>
      <name val="Arial"/>
      <family val="0"/>
      <charset val="1"/>
    </font>
    <font>
      <b val="true"/>
      <sz val="12"/>
      <color rgb="FF12293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1E7A45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2293F"/>
        <bgColor rgb="FF333333"/>
      </patternFill>
    </fill>
    <fill>
      <patternFill patternType="solid">
        <fgColor rgb="FFF6EEDD"/>
        <bgColor rgb="FFFFFFCC"/>
      </patternFill>
    </fill>
    <fill>
      <patternFill patternType="solid">
        <fgColor rgb="FFFFFFCC"/>
        <bgColor rgb="FFF6EEDD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B8873B"/>
      </bottom>
      <diagonal/>
    </border>
    <border diagonalUp="false" diagonalDown="false">
      <left/>
      <right/>
      <top style="thin">
        <color rgb="FF9AA5B1"/>
      </top>
      <bottom/>
      <diagonal/>
    </border>
    <border diagonalUp="false" diagonalDown="false">
      <left style="medium">
        <color rgb="FFB8873B"/>
      </left>
      <right style="medium">
        <color rgb="FFB8873B"/>
      </right>
      <top style="medium">
        <color rgb="FFB8873B"/>
      </top>
      <bottom style="medium">
        <color rgb="FFB8873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3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2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0" fontId="2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2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0" fontId="7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7" fillId="3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2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873B"/>
      <rgbColor rgb="FF800080"/>
      <rgbColor rgb="FF1E7A45"/>
      <rgbColor rgb="FFB3B3B3"/>
      <rgbColor rgb="FF808080"/>
      <rgbColor rgb="FF8FA3B8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6EED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672"/>
      <rgbColor rgb="FF9AA5B1"/>
      <rgbColor rgb="FF12293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Net revenue and EBITDA margin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Outputs!B57</c:f>
              <c:strCache>
                <c:ptCount val="1"/>
                <c:pt idx="0">
                  <c:v>Net revenue</c:v>
                </c:pt>
              </c:strCache>
            </c:strRef>
          </c:tx>
          <c:spPr>
            <a:solidFill>
              <a:srgbClr val="12293f"/>
            </a:solidFill>
            <a:ln w="0">
              <a:solidFill>
                <a:srgbClr val="12293f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Outputs!$A$58:$A$63</c:f>
              <c:strCache>
                <c:ptCount val="6"/>
                <c:pt idx="0">
                  <c:v>FY2025A</c:v>
                </c:pt>
                <c:pt idx="1">
                  <c:v>FY2026E</c:v>
                </c:pt>
                <c:pt idx="2">
                  <c:v>FY2027E</c:v>
                </c:pt>
                <c:pt idx="3">
                  <c:v>FY2028E</c:v>
                </c:pt>
                <c:pt idx="4">
                  <c:v>FY2029E</c:v>
                </c:pt>
                <c:pt idx="5">
                  <c:v>FY2030E</c:v>
                </c:pt>
              </c:strCache>
            </c:strRef>
          </c:cat>
          <c:val>
            <c:numRef>
              <c:f>Outputs!$B$58:$B$63</c:f>
              <c:numCache>
                <c:formatCode>#,##0;\(#,##0\);\-</c:formatCode>
                <c:ptCount val="6"/>
                <c:pt idx="0">
                  <c:v>9610</c:v>
                </c:pt>
                <c:pt idx="1">
                  <c:v>10763.2</c:v>
                </c:pt>
                <c:pt idx="2">
                  <c:v>11839.52</c:v>
                </c:pt>
                <c:pt idx="3">
                  <c:v>12905.0768</c:v>
                </c:pt>
                <c:pt idx="4">
                  <c:v>13937.482944</c:v>
                </c:pt>
                <c:pt idx="5">
                  <c:v>14913.10675008</c:v>
                </c:pt>
              </c:numCache>
            </c:numRef>
          </c:val>
        </c:ser>
        <c:gapWidth val="55"/>
        <c:overlap val="0"/>
        <c:axId val="89323837"/>
        <c:axId val="83555532"/>
      </c:barChart>
      <c:lineChart>
        <c:grouping val="standard"/>
        <c:varyColors val="0"/>
        <c:ser>
          <c:idx val="1"/>
          <c:order val="1"/>
          <c:tx>
            <c:strRef>
              <c:f>Outputs!C57</c:f>
              <c:strCache>
                <c:ptCount val="1"/>
                <c:pt idx="0">
                  <c:v>EBITDA margin</c:v>
                </c:pt>
              </c:strCache>
            </c:strRef>
          </c:tx>
          <c:spPr>
            <a:solidFill>
              <a:srgbClr val="b8873b"/>
            </a:solidFill>
            <a:ln w="28080">
              <a:solidFill>
                <a:srgbClr val="b8873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Outputs!$A$58:$A$63</c:f>
              <c:strCache>
                <c:ptCount val="6"/>
                <c:pt idx="0">
                  <c:v>FY2025A</c:v>
                </c:pt>
                <c:pt idx="1">
                  <c:v>FY2026E</c:v>
                </c:pt>
                <c:pt idx="2">
                  <c:v>FY2027E</c:v>
                </c:pt>
                <c:pt idx="3">
                  <c:v>FY2028E</c:v>
                </c:pt>
                <c:pt idx="4">
                  <c:v>FY2029E</c:v>
                </c:pt>
                <c:pt idx="5">
                  <c:v>FY2030E</c:v>
                </c:pt>
              </c:strCache>
            </c:strRef>
          </c:cat>
          <c:val>
            <c:numRef>
              <c:f>Outputs!$C$58:$C$63</c:f>
              <c:numCache>
                <c:formatCode>0.0%;\(0.0%\);\-</c:formatCode>
                <c:ptCount val="6"/>
                <c:pt idx="0">
                  <c:v>0.0780437044745057</c:v>
                </c:pt>
                <c:pt idx="1">
                  <c:v>0.0736239408354392</c:v>
                </c:pt>
                <c:pt idx="2">
                  <c:v>0.0849641928051137</c:v>
                </c:pt>
                <c:pt idx="3">
                  <c:v>0.0958887273727809</c:v>
                </c:pt>
                <c:pt idx="4">
                  <c:v>0.102432785029997</c:v>
                </c:pt>
                <c:pt idx="5">
                  <c:v>0.108340668882357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84281740"/>
        <c:axId val="31439960"/>
      </c:lineChart>
      <c:catAx>
        <c:axId val="8932383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3555532"/>
        <c:crosses val="autoZero"/>
        <c:auto val="1"/>
        <c:lblAlgn val="ctr"/>
        <c:lblOffset val="100"/>
        <c:noMultiLvlLbl val="0"/>
      </c:catAx>
      <c:valAx>
        <c:axId val="83555532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#,##0;\(#,##0\);\-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9323837"/>
        <c:crosses val="autoZero"/>
        <c:crossBetween val="between"/>
      </c:valAx>
      <c:catAx>
        <c:axId val="84281740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1439960"/>
        <c:crosses val="autoZero"/>
        <c:auto val="1"/>
        <c:lblAlgn val="ctr"/>
        <c:lblOffset val="100"/>
        <c:noMultiLvlLbl val="0"/>
      </c:catAx>
      <c:valAx>
        <c:axId val="31439960"/>
        <c:scaling>
          <c:orientation val="minMax"/>
        </c:scaling>
        <c:delete val="0"/>
        <c:axPos val="r"/>
        <c:numFmt formatCode="0.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4281740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Net debt and leverage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Outputs!D57</c:f>
              <c:strCache>
                <c:ptCount val="1"/>
                <c:pt idx="0">
                  <c:v>Net debt</c:v>
                </c:pt>
              </c:strCache>
            </c:strRef>
          </c:tx>
          <c:spPr>
            <a:solidFill>
              <a:srgbClr val="8fa3b8"/>
            </a:solidFill>
            <a:ln w="0">
              <a:solidFill>
                <a:srgbClr val="8fa3b8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Outputs!$A$58:$A$63</c:f>
              <c:strCache>
                <c:ptCount val="6"/>
                <c:pt idx="0">
                  <c:v>FY2025A</c:v>
                </c:pt>
                <c:pt idx="1">
                  <c:v>FY2026E</c:v>
                </c:pt>
                <c:pt idx="2">
                  <c:v>FY2027E</c:v>
                </c:pt>
                <c:pt idx="3">
                  <c:v>FY2028E</c:v>
                </c:pt>
                <c:pt idx="4">
                  <c:v>FY2029E</c:v>
                </c:pt>
                <c:pt idx="5">
                  <c:v>FY2030E</c:v>
                </c:pt>
              </c:strCache>
            </c:strRef>
          </c:cat>
          <c:val>
            <c:numRef>
              <c:f>Outputs!$D$58:$D$63</c:f>
              <c:numCache>
                <c:formatCode>#,##0;\(#,##0\);\-</c:formatCode>
                <c:ptCount val="6"/>
                <c:pt idx="0">
                  <c:v>1565</c:v>
                </c:pt>
                <c:pt idx="1">
                  <c:v>1395.07796016712</c:v>
                </c:pt>
                <c:pt idx="2">
                  <c:v>957.687572890678</c:v>
                </c:pt>
                <c:pt idx="3">
                  <c:v>562.467861978474</c:v>
                </c:pt>
                <c:pt idx="4">
                  <c:v>31.9058243189664</c:v>
                </c:pt>
                <c:pt idx="5">
                  <c:v>-581.911653775671</c:v>
                </c:pt>
              </c:numCache>
            </c:numRef>
          </c:val>
        </c:ser>
        <c:gapWidth val="55"/>
        <c:overlap val="0"/>
        <c:axId val="35285961"/>
        <c:axId val="89214997"/>
      </c:barChart>
      <c:lineChart>
        <c:grouping val="standard"/>
        <c:varyColors val="0"/>
        <c:ser>
          <c:idx val="1"/>
          <c:order val="1"/>
          <c:tx>
            <c:strRef>
              <c:f>Outputs!E57</c:f>
              <c:strCache>
                <c:ptCount val="1"/>
                <c:pt idx="0">
                  <c:v>Net debt / EBITDA</c:v>
                </c:pt>
              </c:strCache>
            </c:strRef>
          </c:tx>
          <c:spPr>
            <a:solidFill>
              <a:srgbClr val="b8873b"/>
            </a:solidFill>
            <a:ln w="28080">
              <a:solidFill>
                <a:srgbClr val="b8873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Outputs!$A$58:$A$63</c:f>
              <c:strCache>
                <c:ptCount val="6"/>
                <c:pt idx="0">
                  <c:v>FY2025A</c:v>
                </c:pt>
                <c:pt idx="1">
                  <c:v>FY2026E</c:v>
                </c:pt>
                <c:pt idx="2">
                  <c:v>FY2027E</c:v>
                </c:pt>
                <c:pt idx="3">
                  <c:v>FY2028E</c:v>
                </c:pt>
                <c:pt idx="4">
                  <c:v>FY2029E</c:v>
                </c:pt>
                <c:pt idx="5">
                  <c:v>FY2030E</c:v>
                </c:pt>
              </c:strCache>
            </c:strRef>
          </c:cat>
          <c:val>
            <c:numRef>
              <c:f>Outputs!$E$58:$E$63</c:f>
              <c:numCache>
                <c:formatCode>0.00\x</c:formatCode>
                <c:ptCount val="6"/>
                <c:pt idx="0">
                  <c:v>2.08666666666667</c:v>
                </c:pt>
                <c:pt idx="1">
                  <c:v>1.76050801783569</c:v>
                </c:pt>
                <c:pt idx="2">
                  <c:v>0.952036985850042</c:v>
                </c:pt>
                <c:pt idx="3">
                  <c:v>0.454537338653712</c:v>
                </c:pt>
                <c:pt idx="4">
                  <c:v>0.0223484104895927</c:v>
                </c:pt>
                <c:pt idx="5">
                  <c:v>-0.360161607153642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66101183"/>
        <c:axId val="32180585"/>
      </c:lineChart>
      <c:catAx>
        <c:axId val="3528596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9214997"/>
        <c:crosses val="autoZero"/>
        <c:auto val="1"/>
        <c:lblAlgn val="ctr"/>
        <c:lblOffset val="100"/>
        <c:noMultiLvlLbl val="0"/>
      </c:catAx>
      <c:valAx>
        <c:axId val="89214997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#,##0;\(#,##0\);\-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5285961"/>
        <c:crosses val="autoZero"/>
        <c:crossBetween val="between"/>
      </c:valAx>
      <c:catAx>
        <c:axId val="66101183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2180585"/>
        <c:crosses val="autoZero"/>
        <c:auto val="1"/>
        <c:lblAlgn val="ctr"/>
        <c:lblOffset val="100"/>
        <c:noMultiLvlLbl val="0"/>
      </c:catAx>
      <c:valAx>
        <c:axId val="32180585"/>
        <c:scaling>
          <c:orientation val="minMax"/>
        </c:scaling>
        <c:delete val="0"/>
        <c:axPos val="r"/>
        <c:numFmt formatCode="0.00\x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610118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35</xdr:row>
      <xdr:rowOff>0</xdr:rowOff>
    </xdr:from>
    <xdr:to>
      <xdr:col>3</xdr:col>
      <xdr:colOff>450360</xdr:colOff>
      <xdr:row>50</xdr:row>
      <xdr:rowOff>21960</xdr:rowOff>
    </xdr:to>
    <xdr:graphicFrame>
      <xdr:nvGraphicFramePr>
        <xdr:cNvPr id="0" name="Chart 1"/>
        <xdr:cNvGraphicFramePr/>
      </xdr:nvGraphicFramePr>
      <xdr:xfrm>
        <a:off x="0" y="6591240"/>
        <a:ext cx="467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35</xdr:row>
      <xdr:rowOff>0</xdr:rowOff>
    </xdr:from>
    <xdr:to>
      <xdr:col>10</xdr:col>
      <xdr:colOff>685080</xdr:colOff>
      <xdr:row>50</xdr:row>
      <xdr:rowOff>21960</xdr:rowOff>
    </xdr:to>
    <xdr:graphicFrame>
      <xdr:nvGraphicFramePr>
        <xdr:cNvPr id="1" name="Chart 2"/>
        <xdr:cNvGraphicFramePr/>
      </xdr:nvGraphicFramePr>
      <xdr:xfrm>
        <a:off x="5920920" y="6591240"/>
        <a:ext cx="467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8873B"/>
    <pageSetUpPr fitToPage="true"/>
  </sheetPr>
  <dimension ref="A1:D3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6"/>
    <col collapsed="false" customWidth="true" hidden="false" outlineLevel="0" max="3" min="3" style="0" width="66"/>
    <col collapsed="false" customWidth="true" hidden="false" outlineLevel="0" max="4" min="4" style="0" width="3"/>
  </cols>
  <sheetData>
    <row r="1" customFormat="false" ht="7.5" hidden="false" customHeight="true" outlineLevel="0" collapsed="false">
      <c r="A1" s="1"/>
      <c r="B1" s="1"/>
      <c r="C1" s="1"/>
      <c r="D1" s="1"/>
    </row>
    <row r="2" customFormat="false" ht="33.75" hidden="false" customHeight="true" outlineLevel="0" collapsed="false">
      <c r="A2" s="1"/>
      <c r="B2" s="2" t="s">
        <v>0</v>
      </c>
      <c r="C2" s="2"/>
      <c r="D2" s="1"/>
    </row>
    <row r="3" customFormat="false" ht="7.5" hidden="false" customHeight="true" outlineLevel="0" collapsed="false">
      <c r="A3" s="1"/>
      <c r="B3" s="1"/>
      <c r="C3" s="1"/>
      <c r="D3" s="1"/>
    </row>
    <row r="5" customFormat="false" ht="17.35" hidden="false" customHeight="false" outlineLevel="0" collapsed="false">
      <c r="B5" s="3" t="s">
        <v>1</v>
      </c>
    </row>
    <row r="6" customFormat="false" ht="15" hidden="false" customHeight="false" outlineLevel="0" collapsed="false">
      <c r="B6" s="4" t="s">
        <v>2</v>
      </c>
    </row>
    <row r="7" customFormat="false" ht="15" hidden="false" customHeight="false" outlineLevel="0" collapsed="false">
      <c r="B7" s="5"/>
      <c r="C7" s="5"/>
    </row>
    <row r="9" customFormat="false" ht="15" hidden="false" customHeight="false" outlineLevel="0" collapsed="false">
      <c r="B9" s="6" t="s">
        <v>3</v>
      </c>
      <c r="C9" s="7" t="s">
        <v>4</v>
      </c>
    </row>
    <row r="10" customFormat="false" ht="15" hidden="false" customHeight="false" outlineLevel="0" collapsed="false">
      <c r="B10" s="6" t="s">
        <v>5</v>
      </c>
      <c r="C10" s="7" t="s">
        <v>6</v>
      </c>
    </row>
    <row r="11" customFormat="false" ht="15" hidden="false" customHeight="false" outlineLevel="0" collapsed="false">
      <c r="B11" s="6" t="s">
        <v>7</v>
      </c>
      <c r="C11" s="7" t="s">
        <v>8</v>
      </c>
    </row>
    <row r="12" customFormat="false" ht="15" hidden="false" customHeight="false" outlineLevel="0" collapsed="false">
      <c r="B12" s="6" t="s">
        <v>9</v>
      </c>
      <c r="C12" s="7" t="s">
        <v>10</v>
      </c>
    </row>
    <row r="13" customFormat="false" ht="15" hidden="false" customHeight="false" outlineLevel="0" collapsed="false">
      <c r="B13" s="6" t="s">
        <v>11</v>
      </c>
      <c r="C13" s="7" t="s">
        <v>12</v>
      </c>
    </row>
    <row r="14" customFormat="false" ht="15" hidden="false" customHeight="false" outlineLevel="0" collapsed="false">
      <c r="B14" s="6" t="s">
        <v>13</v>
      </c>
      <c r="C14" s="7" t="s">
        <v>14</v>
      </c>
    </row>
    <row r="16" customFormat="false" ht="15" hidden="false" customHeight="false" outlineLevel="0" collapsed="false">
      <c r="B16" s="8" t="s">
        <v>15</v>
      </c>
      <c r="C16" s="5"/>
    </row>
    <row r="17" customFormat="false" ht="25.5" hidden="false" customHeight="true" outlineLevel="0" collapsed="false">
      <c r="B17" s="9" t="s">
        <v>16</v>
      </c>
      <c r="C17" s="10" t="s">
        <v>17</v>
      </c>
    </row>
    <row r="18" customFormat="false" ht="25.5" hidden="false" customHeight="true" outlineLevel="0" collapsed="false">
      <c r="B18" s="9" t="s">
        <v>18</v>
      </c>
      <c r="C18" s="10" t="s">
        <v>19</v>
      </c>
    </row>
    <row r="19" customFormat="false" ht="25.5" hidden="false" customHeight="true" outlineLevel="0" collapsed="false">
      <c r="B19" s="9" t="s">
        <v>20</v>
      </c>
      <c r="C19" s="10" t="s">
        <v>21</v>
      </c>
    </row>
    <row r="20" customFormat="false" ht="25.5" hidden="false" customHeight="true" outlineLevel="0" collapsed="false">
      <c r="B20" s="9" t="s">
        <v>22</v>
      </c>
      <c r="C20" s="10" t="s">
        <v>23</v>
      </c>
    </row>
    <row r="21" customFormat="false" ht="25.5" hidden="false" customHeight="true" outlineLevel="0" collapsed="false">
      <c r="B21" s="9" t="s">
        <v>24</v>
      </c>
      <c r="C21" s="10" t="s">
        <v>25</v>
      </c>
    </row>
    <row r="22" customFormat="false" ht="25.5" hidden="false" customHeight="true" outlineLevel="0" collapsed="false">
      <c r="B22" s="9" t="s">
        <v>26</v>
      </c>
      <c r="C22" s="10" t="s">
        <v>27</v>
      </c>
    </row>
    <row r="24" customFormat="false" ht="15" hidden="false" customHeight="false" outlineLevel="0" collapsed="false">
      <c r="B24" s="8" t="s">
        <v>28</v>
      </c>
      <c r="C24" s="5"/>
    </row>
    <row r="25" customFormat="false" ht="15" hidden="false" customHeight="false" outlineLevel="0" collapsed="false">
      <c r="B25" s="9" t="s">
        <v>29</v>
      </c>
      <c r="C25" s="11" t="s">
        <v>30</v>
      </c>
    </row>
    <row r="26" customFormat="false" ht="15" hidden="false" customHeight="false" outlineLevel="0" collapsed="false">
      <c r="B26" s="9" t="s">
        <v>31</v>
      </c>
      <c r="C26" s="11" t="s">
        <v>32</v>
      </c>
    </row>
    <row r="27" customFormat="false" ht="15" hidden="false" customHeight="false" outlineLevel="0" collapsed="false">
      <c r="B27" s="9" t="s">
        <v>33</v>
      </c>
      <c r="C27" s="11" t="s">
        <v>34</v>
      </c>
    </row>
    <row r="28" customFormat="false" ht="15" hidden="false" customHeight="false" outlineLevel="0" collapsed="false">
      <c r="B28" s="9" t="s">
        <v>35</v>
      </c>
      <c r="C28" s="11" t="s">
        <v>36</v>
      </c>
    </row>
    <row r="29" customFormat="false" ht="15" hidden="false" customHeight="false" outlineLevel="0" collapsed="false">
      <c r="B29" s="9" t="s">
        <v>37</v>
      </c>
      <c r="C29" s="11" t="s">
        <v>38</v>
      </c>
    </row>
    <row r="32" customFormat="false" ht="15" hidden="false" customHeight="true" outlineLevel="0" collapsed="false">
      <c r="B32" s="12" t="s">
        <v>39</v>
      </c>
      <c r="C32" s="12"/>
    </row>
    <row r="33" customFormat="false" ht="15" hidden="false" customHeight="false" outlineLevel="0" collapsed="false">
      <c r="B33" s="12"/>
      <c r="C33" s="12"/>
    </row>
    <row r="34" customFormat="false" ht="15" hidden="false" customHeight="false" outlineLevel="0" collapsed="false">
      <c r="B34" s="12"/>
      <c r="C34" s="12"/>
    </row>
  </sheetData>
  <mergeCells count="2">
    <mergeCell ref="B2:C2"/>
    <mergeCell ref="B32:C34"/>
  </mergeCells>
  <printOptions headings="false" gridLines="false" gridLinesSet="true" horizontalCentered="true" verticalCentered="false"/>
  <pageMargins left="0.3" right="0.3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8873B"/>
    <pageSetUpPr fitToPage="true"/>
  </sheetPr>
  <dimension ref="A1:K6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7" topLeftCell="C8" activePane="bottomRight" state="frozen"/>
      <selection pane="topLeft" activeCell="A1" activeCellId="0" sqref="A1"/>
      <selection pane="topRight" activeCell="C1" activeCellId="0" sqref="C1"/>
      <selection pane="bottomLeft" activeCell="A8" activeCellId="0" sqref="A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8"/>
    <col collapsed="false" customWidth="true" hidden="false" outlineLevel="0" max="9" min="3" style="0" width="12"/>
    <col collapsed="false" customWidth="true" hidden="false" outlineLevel="0" max="11" min="11" style="0" width="46"/>
  </cols>
  <sheetData>
    <row r="1" customFormat="false" ht="21.75" hidden="false" customHeight="true" outlineLevel="0" collapsed="false">
      <c r="A1" s="13" t="s">
        <v>40</v>
      </c>
    </row>
    <row r="2" customFormat="false" ht="13.5" hidden="false" customHeight="true" outlineLevel="0" collapsed="false">
      <c r="A2" s="14" t="s">
        <v>41</v>
      </c>
    </row>
    <row r="3" customFormat="false" ht="3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</row>
    <row r="5" customFormat="false" ht="15" hidden="false" customHeight="false" outlineLevel="0" collapsed="false">
      <c r="A5" s="6" t="s">
        <v>42</v>
      </c>
      <c r="C5" s="15" t="str">
        <f aca="false">CHOOSE(Assumptions!$C$5,"BASE CASE","UPSIDE","DOWNSIDE")</f>
        <v>BASE CASE</v>
      </c>
      <c r="E5" s="16" t="s">
        <v>43</v>
      </c>
    </row>
    <row r="7" customFormat="false" ht="15" hidden="false" customHeight="false" outlineLevel="0" collapsed="false">
      <c r="A7" s="17" t="s">
        <v>44</v>
      </c>
      <c r="B7" s="1"/>
      <c r="C7" s="18" t="s">
        <v>45</v>
      </c>
      <c r="D7" s="18" t="s">
        <v>46</v>
      </c>
      <c r="E7" s="18" t="s">
        <v>47</v>
      </c>
      <c r="F7" s="18" t="s">
        <v>48</v>
      </c>
      <c r="G7" s="18" t="s">
        <v>49</v>
      </c>
      <c r="H7" s="18" t="s">
        <v>50</v>
      </c>
      <c r="I7" s="18" t="s">
        <v>51</v>
      </c>
    </row>
    <row r="8" customFormat="false" ht="15" hidden="false" customHeight="false" outlineLevel="0" collapsed="false">
      <c r="A8" s="19" t="s">
        <v>52</v>
      </c>
      <c r="B8" s="20"/>
      <c r="C8" s="20"/>
      <c r="D8" s="20"/>
      <c r="E8" s="20"/>
      <c r="F8" s="20"/>
      <c r="G8" s="20"/>
      <c r="H8" s="20"/>
      <c r="I8" s="20"/>
    </row>
    <row r="9" customFormat="false" ht="15" hidden="false" customHeight="false" outlineLevel="0" collapsed="false">
      <c r="A9" s="21" t="s">
        <v>53</v>
      </c>
      <c r="C9" s="22" t="n">
        <f aca="false">'P&amp;L'!C6</f>
        <v>8420</v>
      </c>
      <c r="D9" s="22" t="n">
        <f aca="false">'P&amp;L'!D6</f>
        <v>9610</v>
      </c>
      <c r="E9" s="22" t="n">
        <f aca="false">'P&amp;L'!E6</f>
        <v>10763.2</v>
      </c>
      <c r="F9" s="22" t="n">
        <f aca="false">'P&amp;L'!F6</f>
        <v>11839.52</v>
      </c>
      <c r="G9" s="22" t="n">
        <f aca="false">'P&amp;L'!G6</f>
        <v>12905.0768</v>
      </c>
      <c r="H9" s="22" t="n">
        <f aca="false">'P&amp;L'!H6</f>
        <v>13937.482944</v>
      </c>
      <c r="I9" s="22" t="n">
        <f aca="false">'P&amp;L'!I6</f>
        <v>14913.10675008</v>
      </c>
    </row>
    <row r="10" customFormat="false" ht="15" hidden="false" customHeight="false" outlineLevel="0" collapsed="false">
      <c r="A10" s="23" t="s">
        <v>54</v>
      </c>
      <c r="D10" s="24" t="n">
        <f aca="false">IFERROR(D9/C9-1,"")</f>
        <v>0.141330166270784</v>
      </c>
      <c r="E10" s="24" t="n">
        <f aca="false">IFERROR(E9/D9-1,"")</f>
        <v>0.12</v>
      </c>
      <c r="F10" s="24" t="n">
        <f aca="false">IFERROR(F9/E9-1,"")</f>
        <v>0.1</v>
      </c>
      <c r="G10" s="24" t="n">
        <f aca="false">IFERROR(G9/F9-1,"")</f>
        <v>0.0900000000000001</v>
      </c>
      <c r="H10" s="24" t="n">
        <f aca="false">IFERROR(H9/G9-1,"")</f>
        <v>0.0800000000000001</v>
      </c>
      <c r="I10" s="24" t="n">
        <f aca="false">IFERROR(I9/H9-1,"")</f>
        <v>0.0700000000000001</v>
      </c>
    </row>
    <row r="11" customFormat="false" ht="15" hidden="false" customHeight="false" outlineLevel="0" collapsed="false">
      <c r="A11" s="23" t="s">
        <v>55</v>
      </c>
      <c r="C11" s="24" t="n">
        <f aca="false">'P&amp;L'!C10</f>
        <v>0.45</v>
      </c>
      <c r="D11" s="24" t="n">
        <f aca="false">'P&amp;L'!D10</f>
        <v>0.45993756503642</v>
      </c>
      <c r="E11" s="24" t="n">
        <f aca="false">'P&amp;L'!E10</f>
        <v>0.458</v>
      </c>
      <c r="F11" s="24" t="n">
        <f aca="false">'P&amp;L'!F10</f>
        <v>0.463</v>
      </c>
      <c r="G11" s="24" t="n">
        <f aca="false">'P&amp;L'!G10</f>
        <v>0.468</v>
      </c>
      <c r="H11" s="24" t="n">
        <f aca="false">'P&amp;L'!H10</f>
        <v>0.47</v>
      </c>
      <c r="I11" s="24" t="n">
        <f aca="false">'P&amp;L'!I10</f>
        <v>0.472</v>
      </c>
    </row>
    <row r="12" customFormat="false" ht="15" hidden="false" customHeight="false" outlineLevel="0" collapsed="false">
      <c r="A12" s="21" t="s">
        <v>56</v>
      </c>
      <c r="C12" s="22" t="n">
        <f aca="false">'P&amp;L'!C18</f>
        <v>519</v>
      </c>
      <c r="D12" s="22" t="n">
        <f aca="false">'P&amp;L'!D18</f>
        <v>750</v>
      </c>
      <c r="E12" s="22" t="n">
        <f aca="false">'P&amp;L'!E18</f>
        <v>792.4292</v>
      </c>
      <c r="F12" s="22" t="n">
        <f aca="false">'P&amp;L'!F18</f>
        <v>1005.93526</v>
      </c>
      <c r="G12" s="22" t="n">
        <f aca="false">'P&amp;L'!G18</f>
        <v>1237.451391</v>
      </c>
      <c r="H12" s="22" t="n">
        <f aca="false">'P&amp;L'!H18</f>
        <v>1427.655194262</v>
      </c>
      <c r="I12" s="22" t="n">
        <f aca="false">'P&amp;L'!I18</f>
        <v>1615.69596041766</v>
      </c>
    </row>
    <row r="13" customFormat="false" ht="15" hidden="false" customHeight="false" outlineLevel="0" collapsed="false">
      <c r="A13" s="23" t="s">
        <v>57</v>
      </c>
      <c r="C13" s="24" t="n">
        <f aca="false">IFERROR(C12/C9,"")</f>
        <v>0.0616389548693587</v>
      </c>
      <c r="D13" s="24" t="n">
        <f aca="false">IFERROR(D12/D9,"")</f>
        <v>0.0780437044745057</v>
      </c>
      <c r="E13" s="24" t="n">
        <f aca="false">IFERROR(E12/E9,"")</f>
        <v>0.0736239408354392</v>
      </c>
      <c r="F13" s="24" t="n">
        <f aca="false">IFERROR(F12/F9,"")</f>
        <v>0.0849641928051137</v>
      </c>
      <c r="G13" s="24" t="n">
        <f aca="false">IFERROR(G12/G9,"")</f>
        <v>0.0958887273727809</v>
      </c>
      <c r="H13" s="24" t="n">
        <f aca="false">IFERROR(H12/H9,"")</f>
        <v>0.102432785029997</v>
      </c>
      <c r="I13" s="24" t="n">
        <f aca="false">IFERROR(I12/I9,"")</f>
        <v>0.108340668882357</v>
      </c>
    </row>
    <row r="14" customFormat="false" ht="15" hidden="false" customHeight="false" outlineLevel="0" collapsed="false">
      <c r="A14" s="23" t="s">
        <v>58</v>
      </c>
      <c r="C14" s="25" t="n">
        <f aca="false">'P&amp;L'!C21</f>
        <v>304</v>
      </c>
      <c r="D14" s="25" t="n">
        <f aca="false">'P&amp;L'!D21</f>
        <v>512</v>
      </c>
      <c r="E14" s="25" t="n">
        <f aca="false">'P&amp;L'!E21</f>
        <v>549.3292</v>
      </c>
      <c r="F14" s="25" t="n">
        <f aca="false">'P&amp;L'!F21</f>
        <v>751.256952</v>
      </c>
      <c r="G14" s="25" t="n">
        <f aca="false">'P&amp;L'!G21</f>
        <v>971.732415740001</v>
      </c>
      <c r="H14" s="25" t="n">
        <f aca="false">'P&amp;L'!H21</f>
        <v>1150.5008848043</v>
      </c>
      <c r="I14" s="25" t="n">
        <f aca="false">'P&amp;L'!I21</f>
        <v>1327.06039643414</v>
      </c>
    </row>
    <row r="15" customFormat="false" ht="15" hidden="false" customHeight="false" outlineLevel="0" collapsed="false">
      <c r="A15" s="21" t="s">
        <v>59</v>
      </c>
      <c r="C15" s="22" t="n">
        <f aca="false">'P&amp;L'!C29</f>
        <v>184</v>
      </c>
      <c r="D15" s="22" t="n">
        <f aca="false">'P&amp;L'!D29</f>
        <v>352</v>
      </c>
      <c r="E15" s="22" t="n">
        <f aca="false">'P&amp;L'!E29</f>
        <v>363.730236</v>
      </c>
      <c r="F15" s="22" t="n">
        <f aca="false">'P&amp;L'!F29</f>
        <v>545.854623090613</v>
      </c>
      <c r="G15" s="22" t="n">
        <f aca="false">'P&amp;L'!G29</f>
        <v>745.689048209208</v>
      </c>
      <c r="H15" s="22" t="n">
        <f aca="false">'P&amp;L'!H29</f>
        <v>910.656873633148</v>
      </c>
      <c r="I15" s="22" t="n">
        <f aca="false">'P&amp;L'!I29</f>
        <v>1075.01983932349</v>
      </c>
    </row>
    <row r="17" customFormat="false" ht="15" hidden="false" customHeight="false" outlineLevel="0" collapsed="false">
      <c r="A17" s="19" t="s">
        <v>60</v>
      </c>
      <c r="B17" s="20"/>
      <c r="C17" s="20"/>
      <c r="D17" s="20"/>
      <c r="E17" s="20"/>
      <c r="F17" s="20"/>
      <c r="G17" s="20"/>
      <c r="H17" s="20"/>
      <c r="I17" s="20"/>
    </row>
    <row r="18" customFormat="false" ht="15" hidden="false" customHeight="false" outlineLevel="0" collapsed="false">
      <c r="A18" s="23" t="s">
        <v>61</v>
      </c>
      <c r="D18" s="25" t="n">
        <f aca="false">'Cash Flow'!D17</f>
        <v>773</v>
      </c>
      <c r="E18" s="25" t="n">
        <f aca="false">'Cash Flow'!E17</f>
        <v>733.265862832876</v>
      </c>
      <c r="F18" s="25" t="n">
        <f aca="false">'Cash Flow'!F17</f>
        <v>941.294589858904</v>
      </c>
      <c r="G18" s="25" t="n">
        <f aca="false">'Cash Flow'!G17</f>
        <v>1157.36422728222</v>
      </c>
      <c r="H18" s="25" t="n">
        <f aca="false">'Cash Flow'!H17</f>
        <v>1369.65555388923</v>
      </c>
      <c r="I18" s="25" t="n">
        <f aca="false">'Cash Flow'!I17</f>
        <v>1537.86237305023</v>
      </c>
    </row>
    <row r="19" customFormat="false" ht="15" hidden="false" customHeight="false" outlineLevel="0" collapsed="false">
      <c r="A19" s="23" t="s">
        <v>62</v>
      </c>
      <c r="D19" s="25" t="n">
        <f aca="false">'Cash Flow'!D23</f>
        <v>-286</v>
      </c>
      <c r="E19" s="25" t="n">
        <f aca="false">'Cash Flow'!E23</f>
        <v>-301.3696</v>
      </c>
      <c r="F19" s="25" t="n">
        <f aca="false">'Cash Flow'!F23</f>
        <v>-307.82752</v>
      </c>
      <c r="G19" s="25" t="n">
        <f aca="false">'Cash Flow'!G23</f>
        <v>-322.62692</v>
      </c>
      <c r="H19" s="25" t="n">
        <f aca="false">'Cash Flow'!H23</f>
        <v>-334.499590656</v>
      </c>
      <c r="I19" s="25" t="n">
        <f aca="false">'Cash Flow'!I23</f>
        <v>-357.91456200192</v>
      </c>
    </row>
    <row r="20" customFormat="false" ht="15" hidden="false" customHeight="false" outlineLevel="0" collapsed="false">
      <c r="A20" s="21" t="s">
        <v>63</v>
      </c>
      <c r="D20" s="22" t="n">
        <f aca="false">'Cash Flow'!D36</f>
        <v>340</v>
      </c>
      <c r="E20" s="22" t="n">
        <f aca="false">'Cash Flow'!E36</f>
        <v>169.922039832876</v>
      </c>
      <c r="F20" s="22" t="n">
        <f aca="false">'Cash Flow'!F36</f>
        <v>437.390387276446</v>
      </c>
      <c r="G20" s="22" t="n">
        <f aca="false">'Cash Flow'!G36</f>
        <v>618.926425374967</v>
      </c>
      <c r="H20" s="22" t="n">
        <f aca="false">'Cash Flow'!H36</f>
        <v>803.759099749452</v>
      </c>
      <c r="I20" s="22" t="n">
        <f aca="false">'Cash Flow'!I36</f>
        <v>936.323429891684</v>
      </c>
    </row>
    <row r="21" customFormat="false" ht="15" hidden="false" customHeight="false" outlineLevel="0" collapsed="false">
      <c r="A21" s="23" t="s">
        <v>64</v>
      </c>
      <c r="C21" s="25" t="n">
        <f aca="false">'Balance Sheet'!C15</f>
        <v>630</v>
      </c>
      <c r="D21" s="25" t="n">
        <f aca="false">'Balance Sheet'!D15</f>
        <v>615</v>
      </c>
      <c r="E21" s="25" t="n">
        <f aca="false">'Balance Sheet'!E15</f>
        <v>427.422039832876</v>
      </c>
      <c r="F21" s="25" t="n">
        <f aca="false">'Balance Sheet'!F15</f>
        <v>504.437427109322</v>
      </c>
      <c r="G21" s="25" t="n">
        <f aca="false">'Balance Sheet'!G15</f>
        <v>536.263388021526</v>
      </c>
      <c r="H21" s="25" t="n">
        <f aca="false">'Balance Sheet'!H15</f>
        <v>700.261988181034</v>
      </c>
      <c r="I21" s="25" t="n">
        <f aca="false">'Balance Sheet'!I15</f>
        <v>944.187856900671</v>
      </c>
    </row>
    <row r="23" customFormat="false" ht="15" hidden="false" customHeight="false" outlineLevel="0" collapsed="false">
      <c r="A23" s="19" t="s">
        <v>65</v>
      </c>
      <c r="B23" s="20"/>
      <c r="C23" s="20"/>
      <c r="D23" s="20"/>
      <c r="E23" s="20"/>
      <c r="F23" s="20"/>
      <c r="G23" s="20"/>
      <c r="H23" s="20"/>
      <c r="I23" s="20"/>
    </row>
    <row r="24" customFormat="false" ht="15" hidden="false" customHeight="false" outlineLevel="0" collapsed="false">
      <c r="A24" s="21" t="s">
        <v>66</v>
      </c>
      <c r="D24" s="22" t="n">
        <f aca="false">Schedules!D20+Schedules!D29-'Balance Sheet'!D15</f>
        <v>1565</v>
      </c>
      <c r="E24" s="22" t="n">
        <f aca="false">Schedules!E20+Schedules!E29-'Balance Sheet'!E15</f>
        <v>1395.07796016712</v>
      </c>
      <c r="F24" s="22" t="n">
        <f aca="false">Schedules!F20+Schedules!F29-'Balance Sheet'!F15</f>
        <v>957.687572890678</v>
      </c>
      <c r="G24" s="22" t="n">
        <f aca="false">Schedules!G20+Schedules!G29-'Balance Sheet'!G15</f>
        <v>562.467861978474</v>
      </c>
      <c r="H24" s="22" t="n">
        <f aca="false">Schedules!H20+Schedules!H29-'Balance Sheet'!H15</f>
        <v>31.9058243189664</v>
      </c>
      <c r="I24" s="22" t="n">
        <f aca="false">Schedules!I20+Schedules!I29-'Balance Sheet'!I15</f>
        <v>-581.911653775671</v>
      </c>
      <c r="K24" s="16" t="s">
        <v>67</v>
      </c>
    </row>
    <row r="25" customFormat="false" ht="15" hidden="false" customHeight="false" outlineLevel="0" collapsed="false">
      <c r="A25" s="23" t="s">
        <v>68</v>
      </c>
      <c r="D25" s="26" t="n">
        <f aca="false">IFERROR(D24/D12,"")</f>
        <v>2.08666666666667</v>
      </c>
      <c r="E25" s="26" t="n">
        <f aca="false">IFERROR(E24/E12,"")</f>
        <v>1.76050801783569</v>
      </c>
      <c r="F25" s="26" t="n">
        <f aca="false">IFERROR(F24/F12,"")</f>
        <v>0.952036985850042</v>
      </c>
      <c r="G25" s="26" t="n">
        <f aca="false">IFERROR(G24/G12,"")</f>
        <v>0.454537338653712</v>
      </c>
      <c r="H25" s="26" t="n">
        <f aca="false">IFERROR(H24/H12,"")</f>
        <v>0.0223484104895927</v>
      </c>
      <c r="I25" s="26" t="n">
        <f aca="false">IFERROR(I24/I12,"")</f>
        <v>-0.360161607153642</v>
      </c>
    </row>
    <row r="26" customFormat="false" ht="15" hidden="false" customHeight="false" outlineLevel="0" collapsed="false">
      <c r="A26" s="23" t="s">
        <v>69</v>
      </c>
      <c r="D26" s="26" t="n">
        <f aca="false">IFERROR(D12/(-Schedules!D23+Schedules!D27),"")</f>
        <v>8.52272727272727</v>
      </c>
      <c r="E26" s="26" t="n">
        <f aca="false">IFERROR(E12/(-Schedules!E23+Schedules!E27),"")</f>
        <v>6.7584579957356</v>
      </c>
      <c r="F26" s="26" t="n">
        <f aca="false">IFERROR(F12/(-Schedules!F23+Schedules!F27),"")</f>
        <v>10.2777548914432</v>
      </c>
      <c r="G26" s="26" t="n">
        <f aca="false">IFERROR(G12/(-Schedules!G23+Schedules!G27),"")</f>
        <v>15.792631615219</v>
      </c>
      <c r="H26" s="26" t="n">
        <f aca="false">IFERROR(H12/(-Schedules!H23+Schedules!H27),"")</f>
        <v>24.3267816932028</v>
      </c>
      <c r="I26" s="26" t="n">
        <f aca="false">IFERROR(I12/(-Schedules!I23+Schedules!I27),"")</f>
        <v>41.5790755723728</v>
      </c>
    </row>
    <row r="27" customFormat="false" ht="15" hidden="false" customHeight="false" outlineLevel="0" collapsed="false">
      <c r="A27" s="23" t="s">
        <v>70</v>
      </c>
      <c r="D27" s="24" t="n">
        <f aca="false">IFERROR('P&amp;L'!D21/('Balance Sheet'!D21+D24),"")</f>
        <v>0.134489099028106</v>
      </c>
      <c r="E27" s="24" t="n">
        <f aca="false">IFERROR('P&amp;L'!E21/('Balance Sheet'!E21+E24),"")</f>
        <v>0.137304557745675</v>
      </c>
      <c r="F27" s="24" t="n">
        <f aca="false">IFERROR('P&amp;L'!F21/('Balance Sheet'!F21+F24),"")</f>
        <v>0.182819943052007</v>
      </c>
      <c r="G27" s="24" t="n">
        <f aca="false">IFERROR('P&amp;L'!G21/('Balance Sheet'!G21+G24),"")</f>
        <v>0.22939668892384</v>
      </c>
      <c r="H27" s="24" t="n">
        <f aca="false">IFERROR('P&amp;L'!H21/('Balance Sheet'!H21+H24),"")</f>
        <v>0.264913350075666</v>
      </c>
      <c r="I27" s="24" t="n">
        <f aca="false">IFERROR('P&amp;L'!I21/('Balance Sheet'!I21+I24),"")</f>
        <v>0.296111151976409</v>
      </c>
      <c r="K27" s="16" t="s">
        <v>71</v>
      </c>
    </row>
    <row r="29" customFormat="false" ht="15" hidden="false" customHeight="false" outlineLevel="0" collapsed="false">
      <c r="A29" s="19" t="s">
        <v>72</v>
      </c>
      <c r="B29" s="20"/>
      <c r="C29" s="20"/>
      <c r="D29" s="20"/>
      <c r="E29" s="20"/>
      <c r="F29" s="20"/>
      <c r="G29" s="20"/>
      <c r="H29" s="20"/>
      <c r="I29" s="20"/>
    </row>
    <row r="30" customFormat="false" ht="15" hidden="false" customHeight="false" outlineLevel="0" collapsed="false">
      <c r="A30" s="23" t="s">
        <v>73</v>
      </c>
      <c r="C30" s="27" t="str">
        <f aca="false">IF(ABS('Balance Sheet'!C36)&lt;0.5,"OK","ERROR")</f>
        <v>OK</v>
      </c>
      <c r="D30" s="27" t="str">
        <f aca="false">IF(ABS('Balance Sheet'!D36)&lt;0.5,"OK","ERROR")</f>
        <v>OK</v>
      </c>
      <c r="E30" s="27" t="str">
        <f aca="false">IF(ABS('Balance Sheet'!E36)&lt;0.5,"OK","ERROR")</f>
        <v>OK</v>
      </c>
      <c r="F30" s="27" t="str">
        <f aca="false">IF(ABS('Balance Sheet'!F36)&lt;0.5,"OK","ERROR")</f>
        <v>OK</v>
      </c>
      <c r="G30" s="27" t="str">
        <f aca="false">IF(ABS('Balance Sheet'!G36)&lt;0.5,"OK","ERROR")</f>
        <v>OK</v>
      </c>
      <c r="H30" s="27" t="str">
        <f aca="false">IF(ABS('Balance Sheet'!H36)&lt;0.5,"OK","ERROR")</f>
        <v>OK</v>
      </c>
      <c r="I30" s="27" t="str">
        <f aca="false">IF(ABS('Balance Sheet'!I36)&lt;0.5,"OK","ERROR")</f>
        <v>OK</v>
      </c>
    </row>
    <row r="31" customFormat="false" ht="15" hidden="false" customHeight="false" outlineLevel="0" collapsed="false">
      <c r="A31" s="23" t="s">
        <v>74</v>
      </c>
      <c r="C31" s="27"/>
      <c r="D31" s="27" t="str">
        <f aca="false">IF(ABS('Cash Flow'!D34-'Balance Sheet'!D15)&lt;0.5,"OK","ERROR")</f>
        <v>OK</v>
      </c>
      <c r="E31" s="27" t="str">
        <f aca="false">IF(ABS('Cash Flow'!E34-'Balance Sheet'!E15)&lt;0.5,"OK","ERROR")</f>
        <v>OK</v>
      </c>
      <c r="F31" s="27" t="str">
        <f aca="false">IF(ABS('Cash Flow'!F34-'Balance Sheet'!F15)&lt;0.5,"OK","ERROR")</f>
        <v>OK</v>
      </c>
      <c r="G31" s="27" t="str">
        <f aca="false">IF(ABS('Cash Flow'!G34-'Balance Sheet'!G15)&lt;0.5,"OK","ERROR")</f>
        <v>OK</v>
      </c>
      <c r="H31" s="27" t="str">
        <f aca="false">IF(ABS('Cash Flow'!H34-'Balance Sheet'!H15)&lt;0.5,"OK","ERROR")</f>
        <v>OK</v>
      </c>
      <c r="I31" s="27" t="str">
        <f aca="false">IF(ABS('Cash Flow'!I34-'Balance Sheet'!I15)&lt;0.5,"OK","ERROR")</f>
        <v>OK</v>
      </c>
    </row>
    <row r="32" customFormat="false" ht="15" hidden="false" customHeight="false" outlineLevel="0" collapsed="false">
      <c r="A32" s="23" t="s">
        <v>75</v>
      </c>
      <c r="C32" s="27" t="str">
        <f aca="false">IF('Balance Sheet'!C15&gt;=250,"OK","WATCH")</f>
        <v>OK</v>
      </c>
      <c r="D32" s="27" t="str">
        <f aca="false">IF('Balance Sheet'!D15&gt;=250,"OK","WATCH")</f>
        <v>OK</v>
      </c>
      <c r="E32" s="27" t="str">
        <f aca="false">IF('Balance Sheet'!E15&gt;=250,"OK","WATCH")</f>
        <v>OK</v>
      </c>
      <c r="F32" s="27" t="str">
        <f aca="false">IF('Balance Sheet'!F15&gt;=250,"OK","WATCH")</f>
        <v>OK</v>
      </c>
      <c r="G32" s="27" t="str">
        <f aca="false">IF('Balance Sheet'!G15&gt;=250,"OK","WATCH")</f>
        <v>OK</v>
      </c>
      <c r="H32" s="27" t="str">
        <f aca="false">IF('Balance Sheet'!H15&gt;=250,"OK","WATCH")</f>
        <v>OK</v>
      </c>
      <c r="I32" s="27" t="str">
        <f aca="false">IF('Balance Sheet'!I15&gt;=250,"OK","WATCH")</f>
        <v>OK</v>
      </c>
    </row>
    <row r="33" customFormat="false" ht="15" hidden="false" customHeight="false" outlineLevel="0" collapsed="false">
      <c r="A33" s="23" t="s">
        <v>76</v>
      </c>
      <c r="C33" s="27"/>
      <c r="D33" s="27" t="str">
        <f aca="false">IF(D25&lt;=2.25,"OK","BREACH")</f>
        <v>OK</v>
      </c>
      <c r="E33" s="27" t="str">
        <f aca="false">IF(E25&lt;=2.25,"OK","BREACH")</f>
        <v>OK</v>
      </c>
      <c r="F33" s="27" t="str">
        <f aca="false">IF(F25&lt;=2.25,"OK","BREACH")</f>
        <v>OK</v>
      </c>
      <c r="G33" s="27" t="str">
        <f aca="false">IF(G25&lt;=2.25,"OK","BREACH")</f>
        <v>OK</v>
      </c>
      <c r="H33" s="27" t="str">
        <f aca="false">IF(H25&lt;=2.25,"OK","BREACH")</f>
        <v>OK</v>
      </c>
      <c r="I33" s="27" t="str">
        <f aca="false">IF(I25&lt;=2.25,"OK","BREACH")</f>
        <v>OK</v>
      </c>
    </row>
    <row r="56" customFormat="false" ht="15" hidden="false" customHeight="false" outlineLevel="0" collapsed="false">
      <c r="A56" s="16" t="s">
        <v>77</v>
      </c>
    </row>
    <row r="57" customFormat="false" ht="15" hidden="false" customHeight="false" outlineLevel="0" collapsed="false">
      <c r="A57" s="28" t="s">
        <v>78</v>
      </c>
      <c r="B57" s="28" t="s">
        <v>53</v>
      </c>
      <c r="C57" s="28" t="s">
        <v>57</v>
      </c>
      <c r="D57" s="28" t="s">
        <v>66</v>
      </c>
      <c r="E57" s="28" t="s">
        <v>68</v>
      </c>
    </row>
    <row r="58" customFormat="false" ht="15" hidden="false" customHeight="false" outlineLevel="0" collapsed="false">
      <c r="A58" s="29" t="s">
        <v>46</v>
      </c>
      <c r="B58" s="30" t="n">
        <f aca="false">D9</f>
        <v>9610</v>
      </c>
      <c r="C58" s="31" t="n">
        <f aca="false">D13</f>
        <v>0.0780437044745057</v>
      </c>
      <c r="D58" s="30" t="n">
        <f aca="false">D24</f>
        <v>1565</v>
      </c>
      <c r="E58" s="32" t="n">
        <f aca="false">D25</f>
        <v>2.08666666666667</v>
      </c>
    </row>
    <row r="59" customFormat="false" ht="15" hidden="false" customHeight="false" outlineLevel="0" collapsed="false">
      <c r="A59" s="29" t="s">
        <v>47</v>
      </c>
      <c r="B59" s="30" t="n">
        <f aca="false">E9</f>
        <v>10763.2</v>
      </c>
      <c r="C59" s="31" t="n">
        <f aca="false">E13</f>
        <v>0.0736239408354392</v>
      </c>
      <c r="D59" s="30" t="n">
        <f aca="false">E24</f>
        <v>1395.07796016712</v>
      </c>
      <c r="E59" s="32" t="n">
        <f aca="false">E25</f>
        <v>1.76050801783569</v>
      </c>
    </row>
    <row r="60" customFormat="false" ht="15" hidden="false" customHeight="false" outlineLevel="0" collapsed="false">
      <c r="A60" s="29" t="s">
        <v>48</v>
      </c>
      <c r="B60" s="30" t="n">
        <f aca="false">F9</f>
        <v>11839.52</v>
      </c>
      <c r="C60" s="31" t="n">
        <f aca="false">F13</f>
        <v>0.0849641928051137</v>
      </c>
      <c r="D60" s="30" t="n">
        <f aca="false">F24</f>
        <v>957.687572890678</v>
      </c>
      <c r="E60" s="32" t="n">
        <f aca="false">F25</f>
        <v>0.952036985850042</v>
      </c>
    </row>
    <row r="61" customFormat="false" ht="15" hidden="false" customHeight="false" outlineLevel="0" collapsed="false">
      <c r="A61" s="29" t="s">
        <v>49</v>
      </c>
      <c r="B61" s="30" t="n">
        <f aca="false">G9</f>
        <v>12905.0768</v>
      </c>
      <c r="C61" s="31" t="n">
        <f aca="false">G13</f>
        <v>0.0958887273727809</v>
      </c>
      <c r="D61" s="30" t="n">
        <f aca="false">G24</f>
        <v>562.467861978474</v>
      </c>
      <c r="E61" s="32" t="n">
        <f aca="false">G25</f>
        <v>0.454537338653712</v>
      </c>
    </row>
    <row r="62" customFormat="false" ht="15" hidden="false" customHeight="false" outlineLevel="0" collapsed="false">
      <c r="A62" s="29" t="s">
        <v>50</v>
      </c>
      <c r="B62" s="30" t="n">
        <f aca="false">H9</f>
        <v>13937.482944</v>
      </c>
      <c r="C62" s="31" t="n">
        <f aca="false">H13</f>
        <v>0.102432785029997</v>
      </c>
      <c r="D62" s="30" t="n">
        <f aca="false">H24</f>
        <v>31.9058243189664</v>
      </c>
      <c r="E62" s="32" t="n">
        <f aca="false">H25</f>
        <v>0.0223484104895927</v>
      </c>
    </row>
    <row r="63" customFormat="false" ht="15" hidden="false" customHeight="false" outlineLevel="0" collapsed="false">
      <c r="A63" s="29" t="s">
        <v>51</v>
      </c>
      <c r="B63" s="30" t="n">
        <f aca="false">I9</f>
        <v>14913.10675008</v>
      </c>
      <c r="C63" s="31" t="n">
        <f aca="false">I13</f>
        <v>0.108340668882357</v>
      </c>
      <c r="D63" s="30" t="n">
        <f aca="false">I24</f>
        <v>-581.911653775671</v>
      </c>
      <c r="E63" s="32" t="n">
        <f aca="false">I25</f>
        <v>-0.360161607153642</v>
      </c>
    </row>
  </sheetData>
  <printOptions headings="false" gridLines="false" gridLinesSet="true" horizontalCentered="tru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8873B"/>
    <pageSetUpPr fitToPage="true"/>
  </sheetPr>
  <dimension ref="A1:K5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8" topLeftCell="C9" activePane="bottomRight" state="frozen"/>
      <selection pane="topLeft" activeCell="A1" activeCellId="0" sqref="A1"/>
      <selection pane="topRight" activeCell="C1" activeCellId="0" sqref="C1"/>
      <selection pane="bottomLeft" activeCell="A9" activeCellId="0" sqref="A9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33" width="44"/>
    <col collapsed="false" customWidth="true" hidden="false" outlineLevel="0" max="2" min="2" style="33" width="8"/>
    <col collapsed="false" customWidth="true" hidden="false" outlineLevel="0" max="9" min="3" style="33" width="12"/>
    <col collapsed="false" customWidth="true" hidden="false" outlineLevel="0" max="10" min="10" style="33" width="2"/>
    <col collapsed="false" customWidth="true" hidden="false" outlineLevel="0" max="11" min="11" style="33" width="58"/>
  </cols>
  <sheetData>
    <row r="1" customFormat="false" ht="21.75" hidden="false" customHeight="true" outlineLevel="0" collapsed="false">
      <c r="A1" s="34" t="s">
        <v>79</v>
      </c>
    </row>
    <row r="2" customFormat="false" ht="13.5" hidden="false" customHeight="true" outlineLevel="0" collapsed="false">
      <c r="A2" s="35" t="s">
        <v>80</v>
      </c>
    </row>
    <row r="3" customFormat="false" ht="3.75" hidden="false" customHeight="true" outlineLevel="0" collapsed="false">
      <c r="A3" s="36"/>
      <c r="B3" s="36"/>
      <c r="C3" s="36"/>
      <c r="D3" s="36"/>
      <c r="E3" s="36"/>
      <c r="F3" s="36"/>
      <c r="G3" s="36"/>
      <c r="H3" s="36"/>
      <c r="I3" s="36"/>
    </row>
    <row r="5" customFormat="false" ht="15" hidden="false" customHeight="true" outlineLevel="0" collapsed="false">
      <c r="A5" s="37" t="s">
        <v>81</v>
      </c>
      <c r="C5" s="38" t="n">
        <v>1</v>
      </c>
      <c r="D5" s="39" t="str">
        <f aca="false">CHOOSE($C$5,"Base case","Upside","Downside")</f>
        <v>Base case</v>
      </c>
    </row>
    <row r="6" customFormat="false" ht="15" hidden="false" customHeight="true" outlineLevel="0" collapsed="false">
      <c r="A6" s="40" t="s">
        <v>82</v>
      </c>
    </row>
    <row r="8" customFormat="false" ht="15" hidden="false" customHeight="true" outlineLevel="0" collapsed="false">
      <c r="A8" s="17" t="s">
        <v>44</v>
      </c>
      <c r="B8" s="41"/>
      <c r="C8" s="18" t="s">
        <v>45</v>
      </c>
      <c r="D8" s="18" t="s">
        <v>46</v>
      </c>
      <c r="E8" s="18" t="s">
        <v>47</v>
      </c>
      <c r="F8" s="18" t="s">
        <v>48</v>
      </c>
      <c r="G8" s="18" t="s">
        <v>49</v>
      </c>
      <c r="H8" s="18" t="s">
        <v>50</v>
      </c>
      <c r="I8" s="18" t="s">
        <v>51</v>
      </c>
    </row>
    <row r="9" customFormat="false" ht="15" hidden="false" customHeight="true" outlineLevel="0" collapsed="false">
      <c r="A9" s="42" t="s">
        <v>83</v>
      </c>
      <c r="B9" s="43"/>
      <c r="C9" s="43"/>
      <c r="D9" s="43"/>
      <c r="E9" s="43"/>
      <c r="F9" s="43"/>
      <c r="G9" s="43"/>
      <c r="H9" s="43"/>
      <c r="I9" s="43"/>
    </row>
    <row r="10" customFormat="false" ht="15" hidden="false" customHeight="true" outlineLevel="0" collapsed="false">
      <c r="A10" s="44" t="s">
        <v>84</v>
      </c>
    </row>
    <row r="11" customFormat="false" ht="15" hidden="false" customHeight="true" outlineLevel="0" collapsed="false">
      <c r="A11" s="23" t="s">
        <v>85</v>
      </c>
      <c r="E11" s="45" t="n">
        <v>0.12</v>
      </c>
      <c r="F11" s="45" t="n">
        <v>0.1</v>
      </c>
      <c r="G11" s="45" t="n">
        <v>0.09</v>
      </c>
      <c r="H11" s="45" t="n">
        <v>0.08</v>
      </c>
      <c r="I11" s="45" t="n">
        <v>0.07</v>
      </c>
    </row>
    <row r="12" customFormat="false" ht="15" hidden="false" customHeight="true" outlineLevel="0" collapsed="false">
      <c r="A12" s="23" t="s">
        <v>86</v>
      </c>
      <c r="E12" s="45" t="n">
        <v>0.16</v>
      </c>
      <c r="F12" s="45" t="n">
        <v>0.14</v>
      </c>
      <c r="G12" s="45" t="n">
        <v>0.12</v>
      </c>
      <c r="H12" s="45" t="n">
        <v>0.1</v>
      </c>
      <c r="I12" s="45" t="n">
        <v>0.09</v>
      </c>
    </row>
    <row r="13" customFormat="false" ht="15" hidden="false" customHeight="true" outlineLevel="0" collapsed="false">
      <c r="A13" s="23" t="s">
        <v>87</v>
      </c>
      <c r="E13" s="45" t="n">
        <v>0.07</v>
      </c>
      <c r="F13" s="45" t="n">
        <v>0.05</v>
      </c>
      <c r="G13" s="45" t="n">
        <v>0.04</v>
      </c>
      <c r="H13" s="45" t="n">
        <v>0.04</v>
      </c>
      <c r="I13" s="45" t="n">
        <v>0.03</v>
      </c>
    </row>
    <row r="14" customFormat="false" ht="15" hidden="false" customHeight="true" outlineLevel="0" collapsed="false">
      <c r="A14" s="44" t="s">
        <v>55</v>
      </c>
    </row>
    <row r="15" customFormat="false" ht="15" hidden="false" customHeight="true" outlineLevel="0" collapsed="false">
      <c r="A15" s="23" t="s">
        <v>85</v>
      </c>
      <c r="E15" s="45" t="n">
        <v>0.458</v>
      </c>
      <c r="F15" s="45" t="n">
        <v>0.463</v>
      </c>
      <c r="G15" s="45" t="n">
        <v>0.468</v>
      </c>
      <c r="H15" s="45" t="n">
        <v>0.47</v>
      </c>
      <c r="I15" s="45" t="n">
        <v>0.472</v>
      </c>
    </row>
    <row r="16" customFormat="false" ht="15" hidden="false" customHeight="true" outlineLevel="0" collapsed="false">
      <c r="A16" s="23" t="s">
        <v>86</v>
      </c>
      <c r="E16" s="45" t="n">
        <v>0.465</v>
      </c>
      <c r="F16" s="45" t="n">
        <v>0.472</v>
      </c>
      <c r="G16" s="45" t="n">
        <v>0.478</v>
      </c>
      <c r="H16" s="45" t="n">
        <v>0.48</v>
      </c>
      <c r="I16" s="45" t="n">
        <v>0.482</v>
      </c>
    </row>
    <row r="17" customFormat="false" ht="15" hidden="false" customHeight="true" outlineLevel="0" collapsed="false">
      <c r="A17" s="23" t="s">
        <v>87</v>
      </c>
      <c r="E17" s="45" t="n">
        <v>0.445</v>
      </c>
      <c r="F17" s="45" t="n">
        <v>0.445</v>
      </c>
      <c r="G17" s="45" t="n">
        <v>0.448</v>
      </c>
      <c r="H17" s="45" t="n">
        <v>0.45</v>
      </c>
      <c r="I17" s="45" t="n">
        <v>0.45</v>
      </c>
    </row>
    <row r="18" customFormat="false" ht="15" hidden="false" customHeight="true" outlineLevel="0" collapsed="false">
      <c r="A18" s="44" t="s">
        <v>88</v>
      </c>
    </row>
    <row r="19" customFormat="false" ht="15" hidden="false" customHeight="true" outlineLevel="0" collapsed="false">
      <c r="A19" s="23" t="s">
        <v>85</v>
      </c>
      <c r="E19" s="45" t="n">
        <v>0.14</v>
      </c>
      <c r="F19" s="45" t="n">
        <v>0.139</v>
      </c>
      <c r="G19" s="45" t="n">
        <v>0.138</v>
      </c>
      <c r="H19" s="45" t="n">
        <v>0.137</v>
      </c>
      <c r="I19" s="45" t="n">
        <v>0.136</v>
      </c>
    </row>
    <row r="20" customFormat="false" ht="15" hidden="false" customHeight="true" outlineLevel="0" collapsed="false">
      <c r="A20" s="23" t="s">
        <v>86</v>
      </c>
      <c r="E20" s="45" t="n">
        <v>0.148</v>
      </c>
      <c r="F20" s="45" t="n">
        <v>0.146</v>
      </c>
      <c r="G20" s="45" t="n">
        <v>0.144</v>
      </c>
      <c r="H20" s="45" t="n">
        <v>0.142</v>
      </c>
      <c r="I20" s="45" t="n">
        <v>0.14</v>
      </c>
    </row>
    <row r="21" customFormat="false" ht="15" hidden="false" customHeight="true" outlineLevel="0" collapsed="false">
      <c r="A21" s="23" t="s">
        <v>87</v>
      </c>
      <c r="E21" s="45" t="n">
        <v>0.132</v>
      </c>
      <c r="F21" s="45" t="n">
        <v>0.13</v>
      </c>
      <c r="G21" s="45" t="n">
        <v>0.129</v>
      </c>
      <c r="H21" s="45" t="n">
        <v>0.128</v>
      </c>
      <c r="I21" s="45" t="n">
        <v>0.127</v>
      </c>
    </row>
    <row r="23" customFormat="false" ht="15" hidden="false" customHeight="true" outlineLevel="0" collapsed="false">
      <c r="A23" s="42" t="s">
        <v>89</v>
      </c>
      <c r="B23" s="43"/>
      <c r="C23" s="43"/>
      <c r="D23" s="43"/>
      <c r="E23" s="43"/>
      <c r="F23" s="43"/>
      <c r="G23" s="43"/>
      <c r="H23" s="43"/>
      <c r="I23" s="43"/>
    </row>
    <row r="24" customFormat="false" ht="15" hidden="false" customHeight="true" outlineLevel="0" collapsed="false">
      <c r="A24" s="23" t="s">
        <v>84</v>
      </c>
      <c r="E24" s="46" t="n">
        <f aca="false">INDEX(E11:E13,Assumptions!$C$5)</f>
        <v>0.12</v>
      </c>
      <c r="F24" s="46" t="n">
        <f aca="false">INDEX(F11:F13,Assumptions!$C$5)</f>
        <v>0.1</v>
      </c>
      <c r="G24" s="46" t="n">
        <f aca="false">INDEX(G11:G13,Assumptions!$C$5)</f>
        <v>0.09</v>
      </c>
      <c r="H24" s="46" t="n">
        <f aca="false">INDEX(H11:H13,Assumptions!$C$5)</f>
        <v>0.08</v>
      </c>
      <c r="I24" s="46" t="n">
        <f aca="false">INDEX(I11:I13,Assumptions!$C$5)</f>
        <v>0.07</v>
      </c>
      <c r="K24" s="40" t="s">
        <v>90</v>
      </c>
    </row>
    <row r="25" customFormat="false" ht="15" hidden="false" customHeight="true" outlineLevel="0" collapsed="false">
      <c r="A25" s="23" t="s">
        <v>55</v>
      </c>
      <c r="E25" s="46" t="n">
        <f aca="false">INDEX(E15:E17,Assumptions!$C$5)</f>
        <v>0.458</v>
      </c>
      <c r="F25" s="46" t="n">
        <f aca="false">INDEX(F15:F17,Assumptions!$C$5)</f>
        <v>0.463</v>
      </c>
      <c r="G25" s="46" t="n">
        <f aca="false">INDEX(G15:G17,Assumptions!$C$5)</f>
        <v>0.468</v>
      </c>
      <c r="H25" s="46" t="n">
        <f aca="false">INDEX(H15:H17,Assumptions!$C$5)</f>
        <v>0.47</v>
      </c>
      <c r="I25" s="46" t="n">
        <f aca="false">INDEX(I15:I17,Assumptions!$C$5)</f>
        <v>0.472</v>
      </c>
    </row>
    <row r="26" customFormat="false" ht="15" hidden="false" customHeight="true" outlineLevel="0" collapsed="false">
      <c r="A26" s="23" t="s">
        <v>88</v>
      </c>
      <c r="E26" s="46" t="n">
        <f aca="false">INDEX(E19:E21,Assumptions!$C$5)</f>
        <v>0.14</v>
      </c>
      <c r="F26" s="46" t="n">
        <f aca="false">INDEX(F19:F21,Assumptions!$C$5)</f>
        <v>0.139</v>
      </c>
      <c r="G26" s="46" t="n">
        <f aca="false">INDEX(G19:G21,Assumptions!$C$5)</f>
        <v>0.138</v>
      </c>
      <c r="H26" s="46" t="n">
        <f aca="false">INDEX(H19:H21,Assumptions!$C$5)</f>
        <v>0.137</v>
      </c>
      <c r="I26" s="46" t="n">
        <f aca="false">INDEX(I19:I21,Assumptions!$C$5)</f>
        <v>0.136</v>
      </c>
    </row>
    <row r="28" customFormat="false" ht="15" hidden="false" customHeight="true" outlineLevel="0" collapsed="false">
      <c r="A28" s="42" t="s">
        <v>91</v>
      </c>
      <c r="B28" s="43"/>
      <c r="C28" s="43"/>
      <c r="D28" s="43"/>
      <c r="E28" s="43"/>
      <c r="F28" s="43"/>
      <c r="G28" s="43"/>
      <c r="H28" s="43"/>
      <c r="I28" s="43"/>
    </row>
    <row r="29" customFormat="false" ht="15" hidden="false" customHeight="true" outlineLevel="0" collapsed="false">
      <c r="A29" s="23" t="s">
        <v>92</v>
      </c>
      <c r="E29" s="45" t="n">
        <v>0.062</v>
      </c>
      <c r="F29" s="45" t="n">
        <v>0.061</v>
      </c>
      <c r="G29" s="45" t="n">
        <v>0.06</v>
      </c>
      <c r="H29" s="45" t="n">
        <v>0.06</v>
      </c>
      <c r="I29" s="45" t="n">
        <v>0.059</v>
      </c>
    </row>
    <row r="30" customFormat="false" ht="15" hidden="false" customHeight="true" outlineLevel="0" collapsed="false">
      <c r="A30" s="23" t="s">
        <v>93</v>
      </c>
      <c r="E30" s="45" t="n">
        <v>0.09</v>
      </c>
      <c r="F30" s="45" t="n">
        <v>0.08</v>
      </c>
      <c r="G30" s="45" t="n">
        <v>0.07</v>
      </c>
      <c r="H30" s="45" t="n">
        <v>0.06</v>
      </c>
      <c r="I30" s="45" t="n">
        <v>0.06</v>
      </c>
      <c r="K30" s="40" t="s">
        <v>94</v>
      </c>
    </row>
    <row r="31" customFormat="false" ht="15" hidden="false" customHeight="true" outlineLevel="0" collapsed="false">
      <c r="A31" s="23" t="s">
        <v>95</v>
      </c>
      <c r="E31" s="45" t="n">
        <v>0.05</v>
      </c>
      <c r="F31" s="45" t="n">
        <v>0.05</v>
      </c>
      <c r="G31" s="45" t="n">
        <v>0.05</v>
      </c>
      <c r="H31" s="45" t="n">
        <v>0.05</v>
      </c>
      <c r="I31" s="45" t="n">
        <v>0.05</v>
      </c>
    </row>
    <row r="33" customFormat="false" ht="15" hidden="false" customHeight="true" outlineLevel="0" collapsed="false">
      <c r="A33" s="42" t="s">
        <v>96</v>
      </c>
      <c r="B33" s="43"/>
      <c r="C33" s="43"/>
      <c r="D33" s="43"/>
      <c r="E33" s="43"/>
      <c r="F33" s="43"/>
      <c r="G33" s="43"/>
      <c r="H33" s="43"/>
      <c r="I33" s="43"/>
    </row>
    <row r="34" customFormat="false" ht="15" hidden="false" customHeight="true" outlineLevel="0" collapsed="false">
      <c r="A34" s="23" t="s">
        <v>97</v>
      </c>
      <c r="E34" s="45" t="n">
        <v>0.028</v>
      </c>
      <c r="F34" s="45" t="n">
        <v>0.026</v>
      </c>
      <c r="G34" s="45" t="n">
        <v>0.025</v>
      </c>
      <c r="H34" s="45" t="n">
        <v>0.024</v>
      </c>
      <c r="I34" s="45" t="n">
        <v>0.024</v>
      </c>
    </row>
    <row r="35" customFormat="false" ht="15" hidden="false" customHeight="true" outlineLevel="0" collapsed="false">
      <c r="A35" s="23" t="s">
        <v>98</v>
      </c>
      <c r="E35" s="45" t="n">
        <v>0.105</v>
      </c>
      <c r="F35" s="45" t="n">
        <v>0.105</v>
      </c>
      <c r="G35" s="45" t="n">
        <v>0.105</v>
      </c>
      <c r="H35" s="45" t="n">
        <v>0.105</v>
      </c>
      <c r="I35" s="45" t="n">
        <v>0.105</v>
      </c>
    </row>
    <row r="36" customFormat="false" ht="15" hidden="false" customHeight="true" outlineLevel="0" collapsed="false">
      <c r="A36" s="23" t="s">
        <v>99</v>
      </c>
      <c r="E36" s="47" t="n">
        <v>52</v>
      </c>
      <c r="F36" s="47" t="n">
        <v>52</v>
      </c>
      <c r="G36" s="47" t="n">
        <v>52</v>
      </c>
      <c r="H36" s="47" t="n">
        <v>52</v>
      </c>
      <c r="I36" s="47" t="n">
        <v>52</v>
      </c>
      <c r="K36" s="40" t="s">
        <v>100</v>
      </c>
    </row>
    <row r="38" customFormat="false" ht="15" hidden="false" customHeight="true" outlineLevel="0" collapsed="false">
      <c r="A38" s="42" t="s">
        <v>101</v>
      </c>
      <c r="B38" s="43"/>
      <c r="C38" s="43"/>
      <c r="D38" s="43"/>
      <c r="E38" s="43"/>
      <c r="F38" s="43"/>
      <c r="G38" s="43"/>
      <c r="H38" s="43"/>
      <c r="I38" s="43"/>
    </row>
    <row r="39" customFormat="false" ht="15" hidden="false" customHeight="true" outlineLevel="0" collapsed="false">
      <c r="A39" s="23" t="s">
        <v>102</v>
      </c>
      <c r="E39" s="48" t="n">
        <v>80</v>
      </c>
      <c r="F39" s="48" t="n">
        <v>77</v>
      </c>
      <c r="G39" s="48" t="n">
        <v>75</v>
      </c>
      <c r="H39" s="48" t="n">
        <v>73</v>
      </c>
      <c r="I39" s="48" t="n">
        <v>72</v>
      </c>
      <c r="K39" s="40" t="s">
        <v>103</v>
      </c>
    </row>
    <row r="40" customFormat="false" ht="15" hidden="false" customHeight="true" outlineLevel="0" collapsed="false">
      <c r="A40" s="23" t="s">
        <v>104</v>
      </c>
      <c r="E40" s="48" t="n">
        <v>126</v>
      </c>
      <c r="F40" s="48" t="n">
        <v>122</v>
      </c>
      <c r="G40" s="48" t="n">
        <v>118</v>
      </c>
      <c r="H40" s="48" t="n">
        <v>115</v>
      </c>
      <c r="I40" s="48" t="n">
        <v>112</v>
      </c>
    </row>
    <row r="41" customFormat="false" ht="15" hidden="false" customHeight="true" outlineLevel="0" collapsed="false">
      <c r="A41" s="23" t="s">
        <v>105</v>
      </c>
      <c r="E41" s="48" t="n">
        <v>148</v>
      </c>
      <c r="F41" s="48" t="n">
        <v>145</v>
      </c>
      <c r="G41" s="48" t="n">
        <v>142</v>
      </c>
      <c r="H41" s="48" t="n">
        <v>140</v>
      </c>
      <c r="I41" s="48" t="n">
        <v>138</v>
      </c>
      <c r="K41" s="40" t="s">
        <v>106</v>
      </c>
    </row>
    <row r="42" customFormat="false" ht="15" hidden="false" customHeight="true" outlineLevel="0" collapsed="false">
      <c r="A42" s="23" t="s">
        <v>107</v>
      </c>
      <c r="E42" s="45" t="n">
        <v>0.03</v>
      </c>
      <c r="F42" s="45" t="n">
        <v>0.03</v>
      </c>
      <c r="G42" s="45" t="n">
        <v>0.03</v>
      </c>
      <c r="H42" s="45" t="n">
        <v>0.03</v>
      </c>
      <c r="I42" s="45" t="n">
        <v>0.03</v>
      </c>
    </row>
    <row r="43" customFormat="false" ht="15" hidden="false" customHeight="true" outlineLevel="0" collapsed="false">
      <c r="A43" s="23" t="s">
        <v>108</v>
      </c>
      <c r="E43" s="45" t="n">
        <v>0.169</v>
      </c>
      <c r="F43" s="45" t="n">
        <v>0.169</v>
      </c>
      <c r="G43" s="45" t="n">
        <v>0.169</v>
      </c>
      <c r="H43" s="45" t="n">
        <v>0.169</v>
      </c>
      <c r="I43" s="45" t="n">
        <v>0.169</v>
      </c>
    </row>
    <row r="45" customFormat="false" ht="15" hidden="false" customHeight="true" outlineLevel="0" collapsed="false">
      <c r="A45" s="42" t="s">
        <v>109</v>
      </c>
      <c r="B45" s="43"/>
      <c r="C45" s="43"/>
      <c r="D45" s="43"/>
      <c r="E45" s="43"/>
      <c r="F45" s="43"/>
      <c r="G45" s="43"/>
      <c r="H45" s="43"/>
      <c r="I45" s="43"/>
    </row>
    <row r="46" customFormat="false" ht="15" hidden="false" customHeight="true" outlineLevel="0" collapsed="false">
      <c r="A46" s="23" t="s">
        <v>110</v>
      </c>
      <c r="E46" s="47" t="n">
        <v>300</v>
      </c>
      <c r="F46" s="47" t="n">
        <v>300</v>
      </c>
      <c r="G46" s="47" t="n">
        <v>300</v>
      </c>
      <c r="H46" s="47" t="n">
        <v>300</v>
      </c>
      <c r="I46" s="47" t="n">
        <v>300</v>
      </c>
      <c r="K46" s="40" t="s">
        <v>111</v>
      </c>
    </row>
    <row r="47" customFormat="false" ht="15" hidden="false" customHeight="true" outlineLevel="0" collapsed="false">
      <c r="A47" s="23" t="s">
        <v>112</v>
      </c>
      <c r="E47" s="45" t="n">
        <v>0.055</v>
      </c>
      <c r="F47" s="45" t="n">
        <v>0.055</v>
      </c>
      <c r="G47" s="45" t="n">
        <v>0.055</v>
      </c>
      <c r="H47" s="45" t="n">
        <v>0.055</v>
      </c>
      <c r="I47" s="45" t="n">
        <v>0.055</v>
      </c>
      <c r="K47" s="40" t="s">
        <v>113</v>
      </c>
    </row>
    <row r="48" customFormat="false" ht="15" hidden="false" customHeight="true" outlineLevel="0" collapsed="false">
      <c r="A48" s="23" t="s">
        <v>114</v>
      </c>
      <c r="E48" s="45" t="n">
        <v>0.05</v>
      </c>
      <c r="F48" s="45" t="n">
        <v>0.05</v>
      </c>
      <c r="G48" s="45" t="n">
        <v>0.05</v>
      </c>
      <c r="H48" s="45" t="n">
        <v>0.05</v>
      </c>
      <c r="I48" s="45" t="n">
        <v>0.05</v>
      </c>
    </row>
    <row r="49" customFormat="false" ht="15" hidden="false" customHeight="true" outlineLevel="0" collapsed="false">
      <c r="A49" s="23" t="s">
        <v>115</v>
      </c>
      <c r="E49" s="47" t="n">
        <v>84</v>
      </c>
      <c r="F49" s="47" t="n">
        <v>84</v>
      </c>
      <c r="G49" s="47" t="n">
        <v>84</v>
      </c>
      <c r="H49" s="47" t="n">
        <v>84</v>
      </c>
      <c r="I49" s="47" t="n">
        <v>84</v>
      </c>
    </row>
    <row r="50" customFormat="false" ht="15" hidden="false" customHeight="true" outlineLevel="0" collapsed="false">
      <c r="A50" s="23" t="s">
        <v>116</v>
      </c>
      <c r="E50" s="45" t="n">
        <v>0.01</v>
      </c>
      <c r="F50" s="45" t="n">
        <v>0.01</v>
      </c>
      <c r="G50" s="45" t="n">
        <v>0.01</v>
      </c>
      <c r="H50" s="45" t="n">
        <v>0.01</v>
      </c>
      <c r="I50" s="45" t="n">
        <v>0.01</v>
      </c>
    </row>
    <row r="51" customFormat="false" ht="15" hidden="false" customHeight="true" outlineLevel="0" collapsed="false">
      <c r="A51" s="23" t="s">
        <v>117</v>
      </c>
      <c r="E51" s="45" t="n">
        <v>0.17</v>
      </c>
      <c r="F51" s="45" t="n">
        <v>0.17</v>
      </c>
      <c r="G51" s="45" t="n">
        <v>0.17</v>
      </c>
      <c r="H51" s="45" t="n">
        <v>0.17</v>
      </c>
      <c r="I51" s="45" t="n">
        <v>0.17</v>
      </c>
    </row>
    <row r="52" customFormat="false" ht="15" hidden="false" customHeight="true" outlineLevel="0" collapsed="false">
      <c r="A52" s="23" t="s">
        <v>118</v>
      </c>
      <c r="E52" s="45" t="n">
        <v>0.25</v>
      </c>
      <c r="F52" s="45" t="n">
        <v>0.25</v>
      </c>
      <c r="G52" s="45" t="n">
        <v>0.25</v>
      </c>
      <c r="H52" s="45" t="n">
        <v>0.25</v>
      </c>
      <c r="I52" s="45" t="n">
        <v>0.25</v>
      </c>
      <c r="K52" s="40" t="s">
        <v>119</v>
      </c>
    </row>
    <row r="53" customFormat="false" ht="15" hidden="false" customHeight="true" outlineLevel="0" collapsed="false">
      <c r="A53" s="23" t="s">
        <v>120</v>
      </c>
      <c r="E53" s="45" t="n">
        <v>0</v>
      </c>
      <c r="F53" s="45" t="n">
        <v>0</v>
      </c>
      <c r="G53" s="45" t="n">
        <v>0.3</v>
      </c>
      <c r="H53" s="45" t="n">
        <v>0.3</v>
      </c>
      <c r="I53" s="45" t="n">
        <v>0.3</v>
      </c>
      <c r="K53" s="40" t="s">
        <v>121</v>
      </c>
    </row>
    <row r="55" customFormat="false" ht="15" hidden="false" customHeight="true" outlineLevel="0" collapsed="false">
      <c r="A55" s="40" t="s">
        <v>122</v>
      </c>
    </row>
  </sheetData>
  <printOptions headings="false" gridLines="false" gridLinesSet="true" horizontalCentered="tru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2293F"/>
    <pageSetUpPr fitToPage="true"/>
  </sheetPr>
  <dimension ref="A1:I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33" width="44"/>
    <col collapsed="false" customWidth="true" hidden="false" outlineLevel="0" max="2" min="2" style="33" width="8"/>
    <col collapsed="false" customWidth="true" hidden="false" outlineLevel="0" max="9" min="3" style="33" width="12"/>
    <col collapsed="false" customWidth="true" hidden="false" outlineLevel="0" max="10" min="10" style="33" width="2"/>
    <col collapsed="false" customWidth="true" hidden="false" outlineLevel="0" max="11" min="11" style="33" width="58"/>
  </cols>
  <sheetData>
    <row r="1" customFormat="false" ht="21.75" hidden="false" customHeight="true" outlineLevel="0" collapsed="false">
      <c r="A1" s="34" t="s">
        <v>123</v>
      </c>
    </row>
    <row r="2" customFormat="false" ht="13.5" hidden="false" customHeight="true" outlineLevel="0" collapsed="false">
      <c r="A2" s="35" t="s">
        <v>124</v>
      </c>
    </row>
    <row r="3" customFormat="false" ht="3.75" hidden="false" customHeight="true" outlineLevel="0" collapsed="false">
      <c r="A3" s="36"/>
      <c r="B3" s="36"/>
      <c r="C3" s="36"/>
      <c r="D3" s="36"/>
      <c r="E3" s="36"/>
      <c r="F3" s="36"/>
      <c r="G3" s="36"/>
      <c r="H3" s="36"/>
      <c r="I3" s="36"/>
    </row>
    <row r="5" customFormat="false" ht="21.75" hidden="false" customHeight="true" outlineLevel="0" collapsed="false">
      <c r="A5" s="17" t="s">
        <v>125</v>
      </c>
      <c r="B5" s="41"/>
      <c r="C5" s="18" t="s">
        <v>45</v>
      </c>
      <c r="D5" s="18" t="s">
        <v>46</v>
      </c>
      <c r="E5" s="18" t="s">
        <v>47</v>
      </c>
      <c r="F5" s="18" t="s">
        <v>48</v>
      </c>
      <c r="G5" s="18" t="s">
        <v>49</v>
      </c>
      <c r="H5" s="18" t="s">
        <v>50</v>
      </c>
      <c r="I5" s="18" t="s">
        <v>51</v>
      </c>
    </row>
    <row r="6" customFormat="false" ht="15" hidden="false" customHeight="true" outlineLevel="0" collapsed="false">
      <c r="A6" s="44" t="s">
        <v>53</v>
      </c>
      <c r="C6" s="49" t="n">
        <v>8420</v>
      </c>
      <c r="D6" s="49" t="n">
        <v>9610</v>
      </c>
      <c r="E6" s="49" t="n">
        <f aca="false">D6*(1+Assumptions!E24)</f>
        <v>10763.2</v>
      </c>
      <c r="F6" s="49" t="n">
        <f aca="false">E6*(1+Assumptions!F24)</f>
        <v>11839.52</v>
      </c>
      <c r="G6" s="49" t="n">
        <f aca="false">F6*(1+Assumptions!G24)</f>
        <v>12905.0768</v>
      </c>
      <c r="H6" s="49" t="n">
        <f aca="false">G6*(1+Assumptions!H24)</f>
        <v>13937.482944</v>
      </c>
      <c r="I6" s="49" t="n">
        <f aca="false">H6*(1+Assumptions!I24)</f>
        <v>14913.10675008</v>
      </c>
    </row>
    <row r="7" customFormat="false" ht="15" hidden="false" customHeight="true" outlineLevel="0" collapsed="false">
      <c r="A7" s="23" t="s">
        <v>126</v>
      </c>
      <c r="D7" s="46" t="n">
        <f aca="false">IFERROR(D6/C6-1,"")</f>
        <v>0.141330166270784</v>
      </c>
      <c r="E7" s="46" t="n">
        <f aca="false">IFERROR(E6/D6-1,"")</f>
        <v>0.12</v>
      </c>
      <c r="F7" s="46" t="n">
        <f aca="false">IFERROR(F6/E6-1,"")</f>
        <v>0.1</v>
      </c>
      <c r="G7" s="46" t="n">
        <f aca="false">IFERROR(G6/F6-1,"")</f>
        <v>0.0900000000000001</v>
      </c>
      <c r="H7" s="46" t="n">
        <f aca="false">IFERROR(H6/G6-1,"")</f>
        <v>0.0800000000000001</v>
      </c>
      <c r="I7" s="46" t="n">
        <f aca="false">IFERROR(I6/H6-1,"")</f>
        <v>0.0700000000000001</v>
      </c>
    </row>
    <row r="8" customFormat="false" ht="15" hidden="false" customHeight="true" outlineLevel="0" collapsed="false">
      <c r="A8" s="23" t="s">
        <v>127</v>
      </c>
      <c r="C8" s="47" t="n">
        <v>3789</v>
      </c>
      <c r="D8" s="47" t="n">
        <v>4420</v>
      </c>
      <c r="E8" s="50" t="n">
        <f aca="false">E6*Assumptions!E25</f>
        <v>4929.5456</v>
      </c>
      <c r="F8" s="50" t="n">
        <f aca="false">F6*Assumptions!F25</f>
        <v>5481.69776</v>
      </c>
      <c r="G8" s="50" t="n">
        <f aca="false">G6*Assumptions!G25</f>
        <v>6039.5759424</v>
      </c>
      <c r="H8" s="50" t="n">
        <f aca="false">H6*Assumptions!H25</f>
        <v>6550.61698368</v>
      </c>
      <c r="I8" s="50" t="n">
        <f aca="false">I6*Assumptions!I25</f>
        <v>7038.98638603776</v>
      </c>
    </row>
    <row r="9" customFormat="false" ht="15" hidden="false" customHeight="true" outlineLevel="0" collapsed="false">
      <c r="A9" s="23" t="s">
        <v>128</v>
      </c>
      <c r="C9" s="50" t="n">
        <f aca="false">C8-C6</f>
        <v>-4631</v>
      </c>
      <c r="D9" s="50" t="n">
        <f aca="false">D8-D6</f>
        <v>-5190</v>
      </c>
      <c r="E9" s="50" t="n">
        <f aca="false">E8-E6</f>
        <v>-5833.6544</v>
      </c>
      <c r="F9" s="50" t="n">
        <f aca="false">F8-F6</f>
        <v>-6357.82224</v>
      </c>
      <c r="G9" s="50" t="n">
        <f aca="false">G8-G6</f>
        <v>-6865.5008576</v>
      </c>
      <c r="H9" s="50" t="n">
        <f aca="false">H8-H6</f>
        <v>-7386.86596032</v>
      </c>
      <c r="I9" s="50" t="n">
        <f aca="false">I8-I6</f>
        <v>-7874.12036404224</v>
      </c>
    </row>
    <row r="10" customFormat="false" ht="15" hidden="false" customHeight="true" outlineLevel="0" collapsed="false">
      <c r="A10" s="23" t="s">
        <v>55</v>
      </c>
      <c r="C10" s="46" t="n">
        <f aca="false">IFERROR(C8/C6,"")</f>
        <v>0.45</v>
      </c>
      <c r="D10" s="46" t="n">
        <f aca="false">IFERROR(D8/D6,"")</f>
        <v>0.45993756503642</v>
      </c>
      <c r="E10" s="46" t="n">
        <f aca="false">IFERROR(E8/E6,"")</f>
        <v>0.458</v>
      </c>
      <c r="F10" s="46" t="n">
        <f aca="false">IFERROR(F8/F6,"")</f>
        <v>0.463</v>
      </c>
      <c r="G10" s="46" t="n">
        <f aca="false">IFERROR(G8/G6,"")</f>
        <v>0.468</v>
      </c>
      <c r="H10" s="46" t="n">
        <f aca="false">IFERROR(H8/H6,"")</f>
        <v>0.47</v>
      </c>
      <c r="I10" s="46" t="n">
        <f aca="false">IFERROR(I8/I6,"")</f>
        <v>0.472</v>
      </c>
    </row>
    <row r="12" customFormat="false" ht="15" hidden="false" customHeight="true" outlineLevel="0" collapsed="false">
      <c r="A12" s="23" t="s">
        <v>129</v>
      </c>
      <c r="C12" s="47" t="n">
        <v>-545</v>
      </c>
      <c r="D12" s="47" t="n">
        <v>-605</v>
      </c>
      <c r="E12" s="50" t="n">
        <f aca="false">-E6*Assumptions!E29</f>
        <v>-667.3184</v>
      </c>
      <c r="F12" s="50" t="n">
        <f aca="false">-F6*Assumptions!F29</f>
        <v>-722.21072</v>
      </c>
      <c r="G12" s="50" t="n">
        <f aca="false">-G6*Assumptions!G29</f>
        <v>-774.304608</v>
      </c>
      <c r="H12" s="50" t="n">
        <f aca="false">-H6*Assumptions!H29</f>
        <v>-836.24897664</v>
      </c>
      <c r="I12" s="50" t="n">
        <f aca="false">-I6*Assumptions!I29</f>
        <v>-879.87329825472</v>
      </c>
    </row>
    <row r="13" customFormat="false" ht="15" hidden="false" customHeight="true" outlineLevel="0" collapsed="false">
      <c r="A13" s="23" t="s">
        <v>130</v>
      </c>
      <c r="C13" s="47" t="n">
        <v>-1090</v>
      </c>
      <c r="D13" s="47" t="n">
        <v>-1250</v>
      </c>
      <c r="E13" s="50" t="n">
        <f aca="false">-E6*Assumptions!E26</f>
        <v>-1506.848</v>
      </c>
      <c r="F13" s="50" t="n">
        <f aca="false">-F6*Assumptions!F26</f>
        <v>-1645.69328</v>
      </c>
      <c r="G13" s="50" t="n">
        <f aca="false">-G6*Assumptions!G26</f>
        <v>-1780.9005984</v>
      </c>
      <c r="H13" s="50" t="n">
        <f aca="false">-H6*Assumptions!H26</f>
        <v>-1909.435163328</v>
      </c>
      <c r="I13" s="50" t="n">
        <f aca="false">-I6*Assumptions!I26</f>
        <v>-2028.18251801088</v>
      </c>
    </row>
    <row r="14" customFormat="false" ht="15" hidden="false" customHeight="true" outlineLevel="0" collapsed="false">
      <c r="A14" s="23" t="s">
        <v>131</v>
      </c>
      <c r="C14" s="47" t="n">
        <v>-1285</v>
      </c>
      <c r="D14" s="47" t="n">
        <v>-1430</v>
      </c>
      <c r="E14" s="50" t="n">
        <f aca="false">D14*(1+Assumptions!E30)</f>
        <v>-1558.7</v>
      </c>
      <c r="F14" s="50" t="n">
        <f aca="false">E14*(1+Assumptions!F30)</f>
        <v>-1683.396</v>
      </c>
      <c r="G14" s="50" t="n">
        <f aca="false">F14*(1+Assumptions!G30)</f>
        <v>-1801.23372</v>
      </c>
      <c r="H14" s="50" t="n">
        <f aca="false">G14*(1+Assumptions!H30)</f>
        <v>-1909.3077432</v>
      </c>
      <c r="I14" s="50" t="n">
        <f aca="false">H14*(1+Assumptions!I30)</f>
        <v>-2023.866207792</v>
      </c>
    </row>
    <row r="15" customFormat="false" ht="15" hidden="false" customHeight="true" outlineLevel="0" collapsed="false">
      <c r="A15" s="23" t="s">
        <v>132</v>
      </c>
      <c r="C15" s="47" t="n">
        <v>-350</v>
      </c>
      <c r="D15" s="47" t="n">
        <v>-385</v>
      </c>
      <c r="E15" s="50" t="n">
        <f aca="false">D15*(1+Assumptions!E31)</f>
        <v>-404.25</v>
      </c>
      <c r="F15" s="50" t="n">
        <f aca="false">E15*(1+Assumptions!F31)</f>
        <v>-424.4625</v>
      </c>
      <c r="G15" s="50" t="n">
        <f aca="false">F15*(1+Assumptions!G31)</f>
        <v>-445.685625</v>
      </c>
      <c r="H15" s="50" t="n">
        <f aca="false">G15*(1+Assumptions!H31)</f>
        <v>-467.96990625</v>
      </c>
      <c r="I15" s="50" t="n">
        <f aca="false">H15*(1+Assumptions!I31)</f>
        <v>-491.3684015625</v>
      </c>
    </row>
    <row r="16" customFormat="false" ht="15" hidden="false" customHeight="true" outlineLevel="0" collapsed="false">
      <c r="A16" s="44" t="s">
        <v>133</v>
      </c>
      <c r="C16" s="49" t="n">
        <f aca="false">SUM(C12:C15)</f>
        <v>-3270</v>
      </c>
      <c r="D16" s="49" t="n">
        <f aca="false">SUM(D12:D15)</f>
        <v>-3670</v>
      </c>
      <c r="E16" s="49" t="n">
        <f aca="false">SUM(E12:E15)</f>
        <v>-4137.1164</v>
      </c>
      <c r="F16" s="49" t="n">
        <f aca="false">SUM(F12:F15)</f>
        <v>-4475.7625</v>
      </c>
      <c r="G16" s="49" t="n">
        <f aca="false">SUM(G12:G15)</f>
        <v>-4802.1245514</v>
      </c>
      <c r="H16" s="49" t="n">
        <f aca="false">SUM(H12:H15)</f>
        <v>-5122.961789418</v>
      </c>
      <c r="I16" s="49" t="n">
        <f aca="false">SUM(I12:I15)</f>
        <v>-5423.2904256201</v>
      </c>
    </row>
    <row r="18" customFormat="false" ht="15" hidden="false" customHeight="true" outlineLevel="0" collapsed="false">
      <c r="A18" s="51" t="s">
        <v>56</v>
      </c>
      <c r="C18" s="52" t="n">
        <f aca="false">C8+C16</f>
        <v>519</v>
      </c>
      <c r="D18" s="52" t="n">
        <f aca="false">D8+D16</f>
        <v>750</v>
      </c>
      <c r="E18" s="52" t="n">
        <f aca="false">E8+E16</f>
        <v>792.4292</v>
      </c>
      <c r="F18" s="52" t="n">
        <f aca="false">F8+F16</f>
        <v>1005.93526</v>
      </c>
      <c r="G18" s="52" t="n">
        <f aca="false">G8+G16</f>
        <v>1237.451391</v>
      </c>
      <c r="H18" s="52" t="n">
        <f aca="false">H8+H16</f>
        <v>1427.655194262</v>
      </c>
      <c r="I18" s="52" t="n">
        <f aca="false">I8+I16</f>
        <v>1615.69596041766</v>
      </c>
    </row>
    <row r="19" customFormat="false" ht="15" hidden="false" customHeight="true" outlineLevel="0" collapsed="false">
      <c r="A19" s="23" t="s">
        <v>57</v>
      </c>
      <c r="C19" s="46" t="n">
        <f aca="false">IFERROR(C18/C6,"")</f>
        <v>0.0616389548693587</v>
      </c>
      <c r="D19" s="46" t="n">
        <f aca="false">IFERROR(D18/D6,"")</f>
        <v>0.0780437044745057</v>
      </c>
      <c r="E19" s="46" t="n">
        <f aca="false">IFERROR(E18/E6,"")</f>
        <v>0.0736239408354392</v>
      </c>
      <c r="F19" s="46" t="n">
        <f aca="false">IFERROR(F18/F6,"")</f>
        <v>0.0849641928051137</v>
      </c>
      <c r="G19" s="46" t="n">
        <f aca="false">IFERROR(G18/G6,"")</f>
        <v>0.0958887273727809</v>
      </c>
      <c r="H19" s="46" t="n">
        <f aca="false">IFERROR(H18/H6,"")</f>
        <v>0.102432785029997</v>
      </c>
      <c r="I19" s="46" t="n">
        <f aca="false">IFERROR(I18/I6,"")</f>
        <v>0.108340668882357</v>
      </c>
    </row>
    <row r="20" customFormat="false" ht="15" hidden="false" customHeight="true" outlineLevel="0" collapsed="false">
      <c r="A20" s="23" t="s">
        <v>134</v>
      </c>
      <c r="C20" s="47" t="n">
        <v>-215</v>
      </c>
      <c r="D20" s="50" t="n">
        <f aca="false">Schedules!D9+Schedules!D14</f>
        <v>-238</v>
      </c>
      <c r="E20" s="50" t="n">
        <f aca="false">Schedules!E9+Schedules!E14</f>
        <v>-243.1</v>
      </c>
      <c r="F20" s="50" t="n">
        <f aca="false">Schedules!F9+Schedules!F14</f>
        <v>-254.678308</v>
      </c>
      <c r="G20" s="50" t="n">
        <f aca="false">Schedules!G9+Schedules!G14</f>
        <v>-265.71897526</v>
      </c>
      <c r="H20" s="50" t="n">
        <f aca="false">Schedules!H9+Schedules!H14</f>
        <v>-277.1543094577</v>
      </c>
      <c r="I20" s="50" t="n">
        <f aca="false">Schedules!I9+Schedules!I14</f>
        <v>-288.635563983522</v>
      </c>
    </row>
    <row r="21" customFormat="false" ht="15" hidden="false" customHeight="true" outlineLevel="0" collapsed="false">
      <c r="A21" s="44" t="s">
        <v>58</v>
      </c>
      <c r="C21" s="49" t="n">
        <f aca="false">C18+C20</f>
        <v>304</v>
      </c>
      <c r="D21" s="49" t="n">
        <f aca="false">D18+D20</f>
        <v>512</v>
      </c>
      <c r="E21" s="49" t="n">
        <f aca="false">E18+E20</f>
        <v>549.3292</v>
      </c>
      <c r="F21" s="49" t="n">
        <f aca="false">F18+F20</f>
        <v>751.256952</v>
      </c>
      <c r="G21" s="49" t="n">
        <f aca="false">G18+G20</f>
        <v>971.732415740001</v>
      </c>
      <c r="H21" s="49" t="n">
        <f aca="false">H18+H20</f>
        <v>1150.5008848043</v>
      </c>
      <c r="I21" s="49" t="n">
        <f aca="false">I18+I20</f>
        <v>1327.06039643414</v>
      </c>
    </row>
    <row r="23" customFormat="false" ht="15" hidden="false" customHeight="true" outlineLevel="0" collapsed="false">
      <c r="A23" s="23" t="s">
        <v>135</v>
      </c>
      <c r="C23" s="47" t="n">
        <v>-63</v>
      </c>
      <c r="D23" s="50" t="n">
        <f aca="false">Schedules!D23</f>
        <v>-59</v>
      </c>
      <c r="E23" s="50" t="n">
        <f aca="false">Schedules!E23</f>
        <v>-90.75</v>
      </c>
      <c r="F23" s="50" t="n">
        <f aca="false">Schedules!F23</f>
        <v>-74.25</v>
      </c>
      <c r="G23" s="50" t="n">
        <f aca="false">Schedules!G23</f>
        <v>-57.75</v>
      </c>
      <c r="H23" s="50" t="n">
        <f aca="false">Schedules!H23</f>
        <v>-41.25</v>
      </c>
      <c r="I23" s="50" t="n">
        <f aca="false">Schedules!I23</f>
        <v>-24.75</v>
      </c>
    </row>
    <row r="24" customFormat="false" ht="15" hidden="false" customHeight="true" outlineLevel="0" collapsed="false">
      <c r="A24" s="23" t="s">
        <v>136</v>
      </c>
      <c r="C24" s="47" t="n">
        <v>-25</v>
      </c>
      <c r="D24" s="50" t="n">
        <f aca="false">-Schedules!D27</f>
        <v>-29</v>
      </c>
      <c r="E24" s="50" t="n">
        <f aca="false">-Schedules!E27</f>
        <v>-26.5</v>
      </c>
      <c r="F24" s="50" t="n">
        <f aca="false">-Schedules!F27</f>
        <v>-23.625</v>
      </c>
      <c r="G24" s="50" t="n">
        <f aca="false">-Schedules!G27</f>
        <v>-20.60625</v>
      </c>
      <c r="H24" s="50" t="n">
        <f aca="false">-Schedules!H27</f>
        <v>-17.4365625</v>
      </c>
      <c r="I24" s="50" t="n">
        <f aca="false">-Schedules!I27</f>
        <v>-14.108390625</v>
      </c>
    </row>
    <row r="25" customFormat="false" ht="15" hidden="false" customHeight="true" outlineLevel="0" collapsed="false">
      <c r="A25" s="23" t="s">
        <v>137</v>
      </c>
      <c r="C25" s="47" t="n">
        <v>6</v>
      </c>
      <c r="D25" s="47" t="n">
        <v>0</v>
      </c>
      <c r="E25" s="50" t="n">
        <f aca="false">'Balance Sheet'!D15*Assumptions!E50</f>
        <v>6.15</v>
      </c>
      <c r="F25" s="50" t="n">
        <f aca="false">'Balance Sheet'!E15*Assumptions!F50</f>
        <v>4.27422039832876</v>
      </c>
      <c r="G25" s="50" t="n">
        <f aca="false">'Balance Sheet'!F15*Assumptions!G50</f>
        <v>5.04437427109322</v>
      </c>
      <c r="H25" s="50" t="n">
        <f aca="false">'Balance Sheet'!G15*Assumptions!H50</f>
        <v>5.36263388021526</v>
      </c>
      <c r="I25" s="50" t="n">
        <f aca="false">'Balance Sheet'!H15*Assumptions!I50</f>
        <v>7.00261988181034</v>
      </c>
    </row>
    <row r="26" customFormat="false" ht="15" hidden="false" customHeight="true" outlineLevel="0" collapsed="false">
      <c r="A26" s="44" t="s">
        <v>138</v>
      </c>
      <c r="C26" s="49" t="n">
        <f aca="false">SUM(C23:C25)</f>
        <v>-82</v>
      </c>
      <c r="D26" s="49" t="n">
        <f aca="false">SUM(D23:D25)</f>
        <v>-88</v>
      </c>
      <c r="E26" s="49" t="n">
        <f aca="false">SUM(E23:E25)</f>
        <v>-111.1</v>
      </c>
      <c r="F26" s="49" t="n">
        <f aca="false">SUM(F23:F25)</f>
        <v>-93.6007796016712</v>
      </c>
      <c r="G26" s="49" t="n">
        <f aca="false">SUM(G23:G25)</f>
        <v>-73.3118757289068</v>
      </c>
      <c r="H26" s="49" t="n">
        <f aca="false">SUM(H23:H25)</f>
        <v>-53.3239286197847</v>
      </c>
      <c r="I26" s="49" t="n">
        <f aca="false">SUM(I23:I25)</f>
        <v>-31.8557707431897</v>
      </c>
    </row>
    <row r="27" customFormat="false" ht="15" hidden="false" customHeight="true" outlineLevel="0" collapsed="false">
      <c r="A27" s="44" t="s">
        <v>139</v>
      </c>
      <c r="C27" s="49" t="n">
        <f aca="false">C21+C26</f>
        <v>222</v>
      </c>
      <c r="D27" s="49" t="n">
        <f aca="false">D21+D26</f>
        <v>424</v>
      </c>
      <c r="E27" s="49" t="n">
        <f aca="false">E21+E26</f>
        <v>438.2292</v>
      </c>
      <c r="F27" s="49" t="n">
        <f aca="false">F21+F26</f>
        <v>657.656172398329</v>
      </c>
      <c r="G27" s="49" t="n">
        <f aca="false">G21+G26</f>
        <v>898.420540011094</v>
      </c>
      <c r="H27" s="49" t="n">
        <f aca="false">H21+H26</f>
        <v>1097.17695618452</v>
      </c>
      <c r="I27" s="49" t="n">
        <f aca="false">I21+I26</f>
        <v>1295.20462569095</v>
      </c>
    </row>
    <row r="28" customFormat="false" ht="15" hidden="false" customHeight="true" outlineLevel="0" collapsed="false">
      <c r="A28" s="23" t="s">
        <v>140</v>
      </c>
      <c r="C28" s="47" t="n">
        <v>-38</v>
      </c>
      <c r="D28" s="47" t="n">
        <v>-72</v>
      </c>
      <c r="E28" s="50" t="n">
        <f aca="false">-MAX(0,E27)*Assumptions!E51</f>
        <v>-74.4989639999999</v>
      </c>
      <c r="F28" s="50" t="n">
        <f aca="false">-MAX(0,F27)*Assumptions!F51</f>
        <v>-111.801549307716</v>
      </c>
      <c r="G28" s="50" t="n">
        <f aca="false">-MAX(0,G27)*Assumptions!G51</f>
        <v>-152.731491801886</v>
      </c>
      <c r="H28" s="50" t="n">
        <f aca="false">-MAX(0,H27)*Assumptions!H51</f>
        <v>-186.520082551368</v>
      </c>
      <c r="I28" s="50" t="n">
        <f aca="false">-MAX(0,I27)*Assumptions!I51</f>
        <v>-220.184786367461</v>
      </c>
    </row>
    <row r="29" customFormat="false" ht="15" hidden="false" customHeight="true" outlineLevel="0" collapsed="false">
      <c r="A29" s="51" t="s">
        <v>59</v>
      </c>
      <c r="C29" s="52" t="n">
        <f aca="false">C27+C28</f>
        <v>184</v>
      </c>
      <c r="D29" s="52" t="n">
        <f aca="false">D27+D28</f>
        <v>352</v>
      </c>
      <c r="E29" s="52" t="n">
        <f aca="false">E27+E28</f>
        <v>363.730236</v>
      </c>
      <c r="F29" s="52" t="n">
        <f aca="false">F27+F28</f>
        <v>545.854623090613</v>
      </c>
      <c r="G29" s="52" t="n">
        <f aca="false">G27+G28</f>
        <v>745.689048209208</v>
      </c>
      <c r="H29" s="52" t="n">
        <f aca="false">H27+H28</f>
        <v>910.656873633148</v>
      </c>
      <c r="I29" s="52" t="n">
        <f aca="false">I27+I28</f>
        <v>1075.01983932349</v>
      </c>
    </row>
    <row r="30" customFormat="false" ht="15" hidden="false" customHeight="true" outlineLevel="0" collapsed="false">
      <c r="A30" s="23" t="s">
        <v>141</v>
      </c>
      <c r="C30" s="46" t="n">
        <f aca="false">IFERROR(C29/C6,"")</f>
        <v>0.0218527315914489</v>
      </c>
      <c r="D30" s="46" t="n">
        <f aca="false">IFERROR(D29/D6,"")</f>
        <v>0.0366285119667014</v>
      </c>
      <c r="E30" s="46" t="n">
        <f aca="false">IFERROR(E29/E6,"")</f>
        <v>0.0337938750557455</v>
      </c>
      <c r="F30" s="46" t="n">
        <f aca="false">IFERROR(F29/F6,"")</f>
        <v>0.0461044555092278</v>
      </c>
      <c r="G30" s="46" t="n">
        <f aca="false">IFERROR(G29/G6,"")</f>
        <v>0.0577826122049276</v>
      </c>
      <c r="H30" s="46" t="n">
        <f aca="false">IFERROR(H29/H6,"")</f>
        <v>0.065338689725549</v>
      </c>
      <c r="I30" s="46" t="n">
        <f aca="false">IFERROR(I29/I6,"")</f>
        <v>0.0720855725999359</v>
      </c>
    </row>
  </sheetData>
  <printOptions headings="false" gridLines="false" gridLinesSet="true" horizontalCentered="tru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2293F"/>
    <pageSetUpPr fitToPage="true"/>
  </sheetPr>
  <dimension ref="A1:I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33" width="44"/>
    <col collapsed="false" customWidth="true" hidden="false" outlineLevel="0" max="2" min="2" style="33" width="8"/>
    <col collapsed="false" customWidth="true" hidden="false" outlineLevel="0" max="9" min="3" style="33" width="12"/>
    <col collapsed="false" customWidth="true" hidden="false" outlineLevel="0" max="10" min="10" style="33" width="2"/>
    <col collapsed="false" customWidth="true" hidden="false" outlineLevel="0" max="11" min="11" style="33" width="58"/>
  </cols>
  <sheetData>
    <row r="1" customFormat="false" ht="21.75" hidden="false" customHeight="true" outlineLevel="0" collapsed="false">
      <c r="A1" s="34" t="s">
        <v>142</v>
      </c>
    </row>
    <row r="2" customFormat="false" ht="13.5" hidden="false" customHeight="true" outlineLevel="0" collapsed="false">
      <c r="A2" s="35" t="s">
        <v>143</v>
      </c>
    </row>
    <row r="3" customFormat="false" ht="3.75" hidden="false" customHeight="true" outlineLevel="0" collapsed="false">
      <c r="A3" s="36"/>
      <c r="B3" s="36"/>
      <c r="C3" s="36"/>
      <c r="D3" s="36"/>
      <c r="E3" s="36"/>
      <c r="F3" s="36"/>
      <c r="G3" s="36"/>
      <c r="H3" s="36"/>
      <c r="I3" s="36"/>
    </row>
    <row r="5" customFormat="false" ht="21.75" hidden="false" customHeight="true" outlineLevel="0" collapsed="false">
      <c r="A5" s="17" t="s">
        <v>125</v>
      </c>
      <c r="B5" s="41"/>
      <c r="C5" s="18" t="s">
        <v>45</v>
      </c>
      <c r="D5" s="18" t="s">
        <v>46</v>
      </c>
      <c r="E5" s="18" t="s">
        <v>47</v>
      </c>
      <c r="F5" s="18" t="s">
        <v>48</v>
      </c>
      <c r="G5" s="18" t="s">
        <v>49</v>
      </c>
      <c r="H5" s="18" t="s">
        <v>50</v>
      </c>
      <c r="I5" s="18" t="s">
        <v>51</v>
      </c>
    </row>
    <row r="6" customFormat="false" ht="15" hidden="false" customHeight="true" outlineLevel="0" collapsed="false">
      <c r="A6" s="42" t="s">
        <v>144</v>
      </c>
      <c r="B6" s="43"/>
      <c r="C6" s="43"/>
      <c r="D6" s="43"/>
      <c r="E6" s="43"/>
      <c r="F6" s="43"/>
      <c r="G6" s="43"/>
      <c r="H6" s="43"/>
      <c r="I6" s="43"/>
    </row>
    <row r="7" customFormat="false" ht="15" hidden="false" customHeight="true" outlineLevel="0" collapsed="false">
      <c r="A7" s="23" t="s">
        <v>145</v>
      </c>
      <c r="C7" s="47" t="n">
        <v>1720</v>
      </c>
      <c r="D7" s="50" t="n">
        <f aca="false">Schedules!D10</f>
        <v>1820</v>
      </c>
      <c r="E7" s="50" t="n">
        <f aca="false">Schedules!E10</f>
        <v>1930.2696</v>
      </c>
      <c r="F7" s="50" t="n">
        <f aca="false">Schedules!F10</f>
        <v>2035.418812</v>
      </c>
      <c r="G7" s="50" t="n">
        <f aca="false">Schedules!G10</f>
        <v>2144.32675674</v>
      </c>
      <c r="H7" s="50" t="n">
        <f aca="false">Schedules!H10</f>
        <v>2253.6720379383</v>
      </c>
      <c r="I7" s="50" t="n">
        <f aca="false">Schedules!I10</f>
        <v>2374.9510359567</v>
      </c>
    </row>
    <row r="8" customFormat="false" ht="15" hidden="false" customHeight="true" outlineLevel="0" collapsed="false">
      <c r="A8" s="23" t="s">
        <v>146</v>
      </c>
      <c r="C8" s="47" t="n">
        <v>572</v>
      </c>
      <c r="D8" s="50" t="n">
        <f aca="false">Schedules!D15</f>
        <v>520</v>
      </c>
      <c r="E8" s="50" t="n">
        <f aca="false">Schedules!E15</f>
        <v>468</v>
      </c>
      <c r="F8" s="50" t="n">
        <f aca="false">Schedules!F15</f>
        <v>416</v>
      </c>
      <c r="G8" s="50" t="n">
        <f aca="false">Schedules!G15</f>
        <v>364</v>
      </c>
      <c r="H8" s="50" t="n">
        <f aca="false">Schedules!H15</f>
        <v>312</v>
      </c>
      <c r="I8" s="50" t="n">
        <f aca="false">Schedules!I15</f>
        <v>260</v>
      </c>
    </row>
    <row r="9" customFormat="false" ht="15" hidden="false" customHeight="true" outlineLevel="0" collapsed="false">
      <c r="A9" s="23" t="s">
        <v>147</v>
      </c>
      <c r="C9" s="47" t="n">
        <v>85</v>
      </c>
      <c r="D9" s="47" t="n">
        <v>85</v>
      </c>
      <c r="E9" s="47" t="n">
        <v>85</v>
      </c>
      <c r="F9" s="47" t="n">
        <v>85</v>
      </c>
      <c r="G9" s="47" t="n">
        <v>85</v>
      </c>
      <c r="H9" s="47" t="n">
        <v>85</v>
      </c>
      <c r="I9" s="47" t="n">
        <v>85</v>
      </c>
    </row>
    <row r="10" customFormat="false" ht="15" hidden="false" customHeight="true" outlineLevel="0" collapsed="false">
      <c r="A10" s="44" t="s">
        <v>148</v>
      </c>
      <c r="C10" s="49" t="n">
        <f aca="false">SUM(C7:C9)</f>
        <v>2377</v>
      </c>
      <c r="D10" s="49" t="n">
        <f aca="false">SUM(D7:D9)</f>
        <v>2425</v>
      </c>
      <c r="E10" s="49" t="n">
        <f aca="false">SUM(E7:E9)</f>
        <v>2483.2696</v>
      </c>
      <c r="F10" s="49" t="n">
        <f aca="false">SUM(F7:F9)</f>
        <v>2536.418812</v>
      </c>
      <c r="G10" s="49" t="n">
        <f aca="false">SUM(G7:G9)</f>
        <v>2593.32675674</v>
      </c>
      <c r="H10" s="49" t="n">
        <f aca="false">SUM(H7:H9)</f>
        <v>2650.6720379383</v>
      </c>
      <c r="I10" s="49" t="n">
        <f aca="false">SUM(I7:I9)</f>
        <v>2719.9510359567</v>
      </c>
    </row>
    <row r="11" customFormat="false" ht="15" hidden="false" customHeight="true" outlineLevel="0" collapsed="false">
      <c r="A11" s="42" t="s">
        <v>149</v>
      </c>
      <c r="B11" s="43"/>
      <c r="C11" s="43"/>
      <c r="D11" s="43"/>
      <c r="E11" s="43"/>
      <c r="F11" s="43"/>
      <c r="G11" s="43"/>
      <c r="H11" s="43"/>
      <c r="I11" s="43"/>
    </row>
    <row r="12" customFormat="false" ht="15" hidden="false" customHeight="true" outlineLevel="0" collapsed="false">
      <c r="A12" s="23" t="s">
        <v>150</v>
      </c>
      <c r="C12" s="50" t="n">
        <f aca="false">Schedules!C36</f>
        <v>1720</v>
      </c>
      <c r="D12" s="50" t="n">
        <f aca="false">Schedules!D36</f>
        <v>1845</v>
      </c>
      <c r="E12" s="50" t="n">
        <f aca="false">Schedules!E36</f>
        <v>2013.80946410959</v>
      </c>
      <c r="F12" s="50" t="n">
        <f aca="false">Schedules!F36</f>
        <v>2125.08031035617</v>
      </c>
      <c r="G12" s="50" t="n">
        <f aca="false">Schedules!G36</f>
        <v>2219.53178410082</v>
      </c>
      <c r="H12" s="50" t="n">
        <f aca="false">Schedules!H36</f>
        <v>2327.36872722411</v>
      </c>
      <c r="I12" s="50" t="n">
        <f aca="false">Schedules!I36</f>
        <v>2416.16844047324</v>
      </c>
    </row>
    <row r="13" customFormat="false" ht="15" hidden="false" customHeight="true" outlineLevel="0" collapsed="false">
      <c r="A13" s="23" t="s">
        <v>151</v>
      </c>
      <c r="C13" s="50" t="n">
        <f aca="false">Schedules!C35</f>
        <v>2010</v>
      </c>
      <c r="D13" s="50" t="n">
        <f aca="false">Schedules!D35</f>
        <v>2210</v>
      </c>
      <c r="E13" s="50" t="n">
        <f aca="false">Schedules!E35</f>
        <v>2359.05753424658</v>
      </c>
      <c r="F13" s="50" t="n">
        <f aca="false">Schedules!F35</f>
        <v>2497.65216438356</v>
      </c>
      <c r="G13" s="50" t="n">
        <f aca="false">Schedules!G35</f>
        <v>2651.72810958904</v>
      </c>
      <c r="H13" s="50" t="n">
        <f aca="false">Schedules!H35</f>
        <v>2787.4965888</v>
      </c>
      <c r="I13" s="50" t="n">
        <f aca="false">Schedules!I35</f>
        <v>2941.76352330345</v>
      </c>
    </row>
    <row r="14" customFormat="false" ht="15" hidden="false" customHeight="true" outlineLevel="0" collapsed="false">
      <c r="A14" s="23" t="s">
        <v>152</v>
      </c>
      <c r="C14" s="50" t="n">
        <f aca="false">Schedules!C37</f>
        <v>255</v>
      </c>
      <c r="D14" s="50" t="n">
        <f aca="false">Schedules!D37</f>
        <v>285</v>
      </c>
      <c r="E14" s="50" t="n">
        <f aca="false">Schedules!E37</f>
        <v>322.896</v>
      </c>
      <c r="F14" s="50" t="n">
        <f aca="false">Schedules!F37</f>
        <v>355.1856</v>
      </c>
      <c r="G14" s="50" t="n">
        <f aca="false">Schedules!G37</f>
        <v>387.152304</v>
      </c>
      <c r="H14" s="50" t="n">
        <f aca="false">Schedules!H37</f>
        <v>418.12448832</v>
      </c>
      <c r="I14" s="50" t="n">
        <f aca="false">Schedules!I37</f>
        <v>447.3932025024</v>
      </c>
    </row>
    <row r="15" customFormat="false" ht="15" hidden="false" customHeight="true" outlineLevel="0" collapsed="false">
      <c r="A15" s="23" t="s">
        <v>153</v>
      </c>
      <c r="C15" s="47" t="n">
        <v>630</v>
      </c>
      <c r="D15" s="47" t="n">
        <v>615</v>
      </c>
      <c r="E15" s="50" t="n">
        <f aca="false">'Cash Flow'!E34</f>
        <v>427.422039832876</v>
      </c>
      <c r="F15" s="50" t="n">
        <f aca="false">'Cash Flow'!F34</f>
        <v>504.437427109322</v>
      </c>
      <c r="G15" s="50" t="n">
        <f aca="false">'Cash Flow'!G34</f>
        <v>536.263388021526</v>
      </c>
      <c r="H15" s="50" t="n">
        <f aca="false">'Cash Flow'!H34</f>
        <v>700.261988181034</v>
      </c>
      <c r="I15" s="50" t="n">
        <f aca="false">'Cash Flow'!I34</f>
        <v>944.187856900671</v>
      </c>
    </row>
    <row r="16" customFormat="false" ht="15" hidden="false" customHeight="true" outlineLevel="0" collapsed="false">
      <c r="A16" s="44" t="s">
        <v>154</v>
      </c>
      <c r="C16" s="49" t="n">
        <f aca="false">SUM(C12:C15)</f>
        <v>4615</v>
      </c>
      <c r="D16" s="49" t="n">
        <f aca="false">SUM(D12:D15)</f>
        <v>4955</v>
      </c>
      <c r="E16" s="49" t="n">
        <f aca="false">SUM(E12:E15)</f>
        <v>5123.18503818904</v>
      </c>
      <c r="F16" s="49" t="n">
        <f aca="false">SUM(F12:F15)</f>
        <v>5482.35550184905</v>
      </c>
      <c r="G16" s="49" t="n">
        <f aca="false">SUM(G12:G15)</f>
        <v>5794.67558571139</v>
      </c>
      <c r="H16" s="49" t="n">
        <f aca="false">SUM(H12:H15)</f>
        <v>6233.25179252514</v>
      </c>
      <c r="I16" s="49" t="n">
        <f aca="false">SUM(I12:I15)</f>
        <v>6749.51302317976</v>
      </c>
    </row>
    <row r="17" customFormat="false" ht="15" hidden="false" customHeight="true" outlineLevel="0" collapsed="false">
      <c r="A17" s="51" t="s">
        <v>155</v>
      </c>
      <c r="C17" s="52" t="n">
        <f aca="false">C10+C16</f>
        <v>6992</v>
      </c>
      <c r="D17" s="52" t="n">
        <f aca="false">D10+D16</f>
        <v>7380</v>
      </c>
      <c r="E17" s="52" t="n">
        <f aca="false">E10+E16</f>
        <v>7606.45463818904</v>
      </c>
      <c r="F17" s="52" t="n">
        <f aca="false">F10+F16</f>
        <v>8018.77431384905</v>
      </c>
      <c r="G17" s="52" t="n">
        <f aca="false">G10+G16</f>
        <v>8388.00234245139</v>
      </c>
      <c r="H17" s="52" t="n">
        <f aca="false">H10+H16</f>
        <v>8883.92383046345</v>
      </c>
      <c r="I17" s="52" t="n">
        <f aca="false">I10+I16</f>
        <v>9469.46405913646</v>
      </c>
    </row>
    <row r="18" customFormat="false" ht="15" hidden="false" customHeight="true" outlineLevel="0" collapsed="false">
      <c r="A18" s="42" t="s">
        <v>156</v>
      </c>
      <c r="B18" s="43"/>
      <c r="C18" s="43"/>
      <c r="D18" s="43"/>
      <c r="E18" s="43"/>
      <c r="F18" s="43"/>
      <c r="G18" s="43"/>
      <c r="H18" s="43"/>
      <c r="I18" s="43"/>
    </row>
    <row r="19" customFormat="false" ht="15" hidden="false" customHeight="true" outlineLevel="0" collapsed="false">
      <c r="A19" s="23" t="s">
        <v>157</v>
      </c>
      <c r="C19" s="47" t="n">
        <v>500</v>
      </c>
      <c r="D19" s="47" t="n">
        <v>500</v>
      </c>
      <c r="E19" s="47" t="n">
        <v>500</v>
      </c>
      <c r="F19" s="47" t="n">
        <v>500</v>
      </c>
      <c r="G19" s="47" t="n">
        <v>500</v>
      </c>
      <c r="H19" s="47" t="n">
        <v>500</v>
      </c>
      <c r="I19" s="47" t="n">
        <v>500</v>
      </c>
    </row>
    <row r="20" customFormat="false" ht="15" hidden="false" customHeight="true" outlineLevel="0" collapsed="false">
      <c r="A20" s="23" t="s">
        <v>158</v>
      </c>
      <c r="C20" s="47" t="n">
        <v>1390</v>
      </c>
      <c r="D20" s="50" t="n">
        <f aca="false">Schedules!D51</f>
        <v>1742</v>
      </c>
      <c r="E20" s="50" t="n">
        <f aca="false">Schedules!E51</f>
        <v>2105.730236</v>
      </c>
      <c r="F20" s="50" t="n">
        <f aca="false">Schedules!F51</f>
        <v>2651.58485909061</v>
      </c>
      <c r="G20" s="50" t="n">
        <f aca="false">Schedules!G51</f>
        <v>3173.56719283706</v>
      </c>
      <c r="H20" s="50" t="n">
        <f aca="false">Schedules!H51</f>
        <v>3811.02700438026</v>
      </c>
      <c r="I20" s="50" t="n">
        <f aca="false">Schedules!I51</f>
        <v>4563.5408919067</v>
      </c>
    </row>
    <row r="21" customFormat="false" ht="15" hidden="false" customHeight="true" outlineLevel="0" collapsed="false">
      <c r="A21" s="44" t="s">
        <v>159</v>
      </c>
      <c r="C21" s="49" t="n">
        <f aca="false">C19+C20</f>
        <v>1890</v>
      </c>
      <c r="D21" s="49" t="n">
        <f aca="false">D19+D20</f>
        <v>2242</v>
      </c>
      <c r="E21" s="49" t="n">
        <f aca="false">E19+E20</f>
        <v>2605.730236</v>
      </c>
      <c r="F21" s="49" t="n">
        <f aca="false">F19+F20</f>
        <v>3151.58485909061</v>
      </c>
      <c r="G21" s="49" t="n">
        <f aca="false">G19+G20</f>
        <v>3673.56719283706</v>
      </c>
      <c r="H21" s="49" t="n">
        <f aca="false">H19+H20</f>
        <v>4311.02700438026</v>
      </c>
      <c r="I21" s="49" t="n">
        <f aca="false">I19+I20</f>
        <v>5063.5408919067</v>
      </c>
    </row>
    <row r="22" customFormat="false" ht="15" hidden="false" customHeight="true" outlineLevel="0" collapsed="false">
      <c r="A22" s="42" t="s">
        <v>160</v>
      </c>
      <c r="B22" s="43"/>
      <c r="C22" s="43"/>
      <c r="D22" s="43"/>
      <c r="E22" s="43"/>
      <c r="F22" s="43"/>
      <c r="G22" s="43"/>
      <c r="H22" s="43"/>
      <c r="I22" s="43"/>
    </row>
    <row r="23" customFormat="false" ht="15" hidden="false" customHeight="true" outlineLevel="0" collapsed="false">
      <c r="A23" s="23" t="s">
        <v>161</v>
      </c>
      <c r="C23" s="47" t="n">
        <v>1650</v>
      </c>
      <c r="D23" s="50" t="n">
        <f aca="false">Schedules!D22</f>
        <v>1350</v>
      </c>
      <c r="E23" s="50" t="n">
        <f aca="false">Schedules!E22</f>
        <v>1050</v>
      </c>
      <c r="F23" s="50" t="n">
        <f aca="false">Schedules!F22</f>
        <v>750</v>
      </c>
      <c r="G23" s="50" t="n">
        <f aca="false">Schedules!G22</f>
        <v>450</v>
      </c>
      <c r="H23" s="50" t="n">
        <f aca="false">Schedules!H22</f>
        <v>150</v>
      </c>
      <c r="I23" s="50" t="n">
        <f aca="false">Schedules!I22</f>
        <v>0</v>
      </c>
    </row>
    <row r="24" customFormat="false" ht="15" hidden="false" customHeight="true" outlineLevel="0" collapsed="false">
      <c r="A24" s="23" t="s">
        <v>162</v>
      </c>
      <c r="C24" s="47" t="n">
        <v>445</v>
      </c>
      <c r="D24" s="50" t="n">
        <f aca="false">Schedules!D32</f>
        <v>385</v>
      </c>
      <c r="E24" s="50" t="n">
        <f aca="false">Schedules!E32</f>
        <v>412.125</v>
      </c>
      <c r="F24" s="50" t="n">
        <f aca="false">Schedules!F32</f>
        <v>348.73125</v>
      </c>
      <c r="G24" s="50" t="n">
        <f aca="false">Schedules!G32</f>
        <v>282.1678125</v>
      </c>
      <c r="H24" s="50" t="n">
        <f aca="false">Schedules!H32</f>
        <v>212.276203125</v>
      </c>
      <c r="I24" s="50" t="n">
        <f aca="false">Schedules!I32</f>
        <v>138.89001328125</v>
      </c>
    </row>
    <row r="25" customFormat="false" ht="15" hidden="false" customHeight="true" outlineLevel="0" collapsed="false">
      <c r="A25" s="23" t="s">
        <v>163</v>
      </c>
      <c r="C25" s="47" t="n">
        <v>95</v>
      </c>
      <c r="D25" s="47" t="n">
        <v>95</v>
      </c>
      <c r="E25" s="47" t="n">
        <v>95</v>
      </c>
      <c r="F25" s="47" t="n">
        <v>95</v>
      </c>
      <c r="G25" s="47" t="n">
        <v>95</v>
      </c>
      <c r="H25" s="47" t="n">
        <v>95</v>
      </c>
      <c r="I25" s="47" t="n">
        <v>95</v>
      </c>
    </row>
    <row r="26" customFormat="false" ht="15" hidden="false" customHeight="true" outlineLevel="0" collapsed="false">
      <c r="A26" s="44" t="s">
        <v>164</v>
      </c>
      <c r="C26" s="49" t="n">
        <f aca="false">SUM(C23:C25)</f>
        <v>2190</v>
      </c>
      <c r="D26" s="49" t="n">
        <f aca="false">SUM(D23:D25)</f>
        <v>1830</v>
      </c>
      <c r="E26" s="49" t="n">
        <f aca="false">SUM(E23:E25)</f>
        <v>1557.125</v>
      </c>
      <c r="F26" s="49" t="n">
        <f aca="false">SUM(F23:F25)</f>
        <v>1193.73125</v>
      </c>
      <c r="G26" s="49" t="n">
        <f aca="false">SUM(G23:G25)</f>
        <v>827.1678125</v>
      </c>
      <c r="H26" s="49" t="n">
        <f aca="false">SUM(H23:H25)</f>
        <v>457.276203125</v>
      </c>
      <c r="I26" s="49" t="n">
        <f aca="false">SUM(I23:I25)</f>
        <v>233.89001328125</v>
      </c>
    </row>
    <row r="27" customFormat="false" ht="15" hidden="false" customHeight="true" outlineLevel="0" collapsed="false">
      <c r="A27" s="42" t="s">
        <v>165</v>
      </c>
      <c r="B27" s="43"/>
      <c r="C27" s="43"/>
      <c r="D27" s="43"/>
      <c r="E27" s="43"/>
      <c r="F27" s="43"/>
      <c r="G27" s="43"/>
      <c r="H27" s="43"/>
      <c r="I27" s="43"/>
    </row>
    <row r="28" customFormat="false" ht="15" hidden="false" customHeight="true" outlineLevel="0" collapsed="false">
      <c r="A28" s="23" t="s">
        <v>166</v>
      </c>
      <c r="C28" s="50" t="n">
        <f aca="false">Schedules!C38</f>
        <v>1845</v>
      </c>
      <c r="D28" s="50" t="n">
        <f aca="false">Schedules!D38</f>
        <v>2148</v>
      </c>
      <c r="E28" s="50" t="n">
        <f aca="false">Schedules!E38</f>
        <v>2365.42698958904</v>
      </c>
      <c r="F28" s="50" t="n">
        <f aca="false">Schedules!F38</f>
        <v>2525.71020493151</v>
      </c>
      <c r="G28" s="50" t="n">
        <f aca="false">Schedules!G38</f>
        <v>2670.96197747726</v>
      </c>
      <c r="H28" s="50" t="n">
        <f aca="false">Schedules!H38</f>
        <v>2833.3184505337</v>
      </c>
      <c r="I28" s="50" t="n">
        <f aca="false">Schedules!I38</f>
        <v>2977.06468558309</v>
      </c>
    </row>
    <row r="29" customFormat="false" ht="15" hidden="false" customHeight="true" outlineLevel="0" collapsed="false">
      <c r="A29" s="23" t="s">
        <v>167</v>
      </c>
      <c r="C29" s="50" t="n">
        <f aca="false">Schedules!C39</f>
        <v>545</v>
      </c>
      <c r="D29" s="50" t="n">
        <f aca="false">Schedules!D39</f>
        <v>620</v>
      </c>
      <c r="E29" s="50" t="n">
        <f aca="false">Schedules!E39</f>
        <v>699.1726716</v>
      </c>
      <c r="F29" s="50" t="n">
        <f aca="false">Schedules!F39</f>
        <v>756.4038625</v>
      </c>
      <c r="G29" s="50" t="n">
        <f aca="false">Schedules!G39</f>
        <v>811.5590491866</v>
      </c>
      <c r="H29" s="50" t="n">
        <f aca="false">Schedules!H39</f>
        <v>865.780542411642</v>
      </c>
      <c r="I29" s="50" t="n">
        <f aca="false">Schedules!I39</f>
        <v>916.536081929797</v>
      </c>
    </row>
    <row r="30" customFormat="false" ht="15" hidden="false" customHeight="true" outlineLevel="0" collapsed="false">
      <c r="A30" s="23" t="s">
        <v>168</v>
      </c>
      <c r="C30" s="50" t="n">
        <f aca="false">Schedules!C21</f>
        <v>300</v>
      </c>
      <c r="D30" s="50" t="n">
        <f aca="false">Schedules!D21</f>
        <v>300</v>
      </c>
      <c r="E30" s="50" t="n">
        <f aca="false">Schedules!E21</f>
        <v>300</v>
      </c>
      <c r="F30" s="50" t="n">
        <f aca="false">Schedules!F21</f>
        <v>300</v>
      </c>
      <c r="G30" s="50" t="n">
        <f aca="false">Schedules!G21</f>
        <v>300</v>
      </c>
      <c r="H30" s="50" t="n">
        <f aca="false">Schedules!H21</f>
        <v>300</v>
      </c>
      <c r="I30" s="50" t="n">
        <f aca="false">Schedules!I21</f>
        <v>150</v>
      </c>
    </row>
    <row r="31" customFormat="false" ht="15" hidden="false" customHeight="true" outlineLevel="0" collapsed="false">
      <c r="A31" s="23" t="s">
        <v>169</v>
      </c>
      <c r="C31" s="50" t="n">
        <f aca="false">Schedules!C31</f>
        <v>140</v>
      </c>
      <c r="D31" s="50" t="n">
        <f aca="false">Schedules!D31</f>
        <v>145</v>
      </c>
      <c r="E31" s="50" t="n">
        <f aca="false">Schedules!E31</f>
        <v>60.375</v>
      </c>
      <c r="F31" s="50" t="n">
        <f aca="false">Schedules!F31</f>
        <v>63.39375</v>
      </c>
      <c r="G31" s="50" t="n">
        <f aca="false">Schedules!G31</f>
        <v>66.5634375</v>
      </c>
      <c r="H31" s="50" t="n">
        <f aca="false">Schedules!H31</f>
        <v>69.891609375</v>
      </c>
      <c r="I31" s="50" t="n">
        <f aca="false">Schedules!I31</f>
        <v>73.38618984375</v>
      </c>
    </row>
    <row r="32" customFormat="false" ht="15" hidden="false" customHeight="true" outlineLevel="0" collapsed="false">
      <c r="A32" s="23" t="s">
        <v>170</v>
      </c>
      <c r="C32" s="47" t="n">
        <v>82</v>
      </c>
      <c r="D32" s="50" t="n">
        <f aca="false">Schedules!D45</f>
        <v>95</v>
      </c>
      <c r="E32" s="50" t="n">
        <f aca="false">Schedules!E45</f>
        <v>18.624741</v>
      </c>
      <c r="F32" s="50" t="n">
        <f aca="false">Schedules!F45</f>
        <v>27.950387326929</v>
      </c>
      <c r="G32" s="50" t="n">
        <f aca="false">Schedules!G45</f>
        <v>38.1828729504715</v>
      </c>
      <c r="H32" s="50" t="n">
        <f aca="false">Schedules!H45</f>
        <v>46.6300206378419</v>
      </c>
      <c r="I32" s="50" t="n">
        <f aca="false">Schedules!I45</f>
        <v>55.0461965918653</v>
      </c>
    </row>
    <row r="33" customFormat="false" ht="15" hidden="false" customHeight="true" outlineLevel="0" collapsed="false">
      <c r="A33" s="44" t="s">
        <v>171</v>
      </c>
      <c r="C33" s="49" t="n">
        <f aca="false">SUM(C28:C32)</f>
        <v>2912</v>
      </c>
      <c r="D33" s="49" t="n">
        <f aca="false">SUM(D28:D32)</f>
        <v>3308</v>
      </c>
      <c r="E33" s="49" t="n">
        <f aca="false">SUM(E28:E32)</f>
        <v>3443.59940218904</v>
      </c>
      <c r="F33" s="49" t="n">
        <f aca="false">SUM(F28:F32)</f>
        <v>3673.45820475844</v>
      </c>
      <c r="G33" s="49" t="n">
        <f aca="false">SUM(G28:G32)</f>
        <v>3887.26733711433</v>
      </c>
      <c r="H33" s="49" t="n">
        <f aca="false">SUM(H28:H32)</f>
        <v>4115.62062295818</v>
      </c>
      <c r="I33" s="49" t="n">
        <f aca="false">SUM(I28:I32)</f>
        <v>4172.03315394851</v>
      </c>
    </row>
    <row r="34" customFormat="false" ht="15" hidden="false" customHeight="true" outlineLevel="0" collapsed="false">
      <c r="A34" s="51" t="s">
        <v>172</v>
      </c>
      <c r="C34" s="52" t="n">
        <f aca="false">C21+C26+C33</f>
        <v>6992</v>
      </c>
      <c r="D34" s="52" t="n">
        <f aca="false">D21+D26+D33</f>
        <v>7380</v>
      </c>
      <c r="E34" s="52" t="n">
        <f aca="false">E21+E26+E33</f>
        <v>7606.45463818904</v>
      </c>
      <c r="F34" s="52" t="n">
        <f aca="false">F21+F26+F33</f>
        <v>8018.77431384905</v>
      </c>
      <c r="G34" s="52" t="n">
        <f aca="false">G21+G26+G33</f>
        <v>8388.00234245139</v>
      </c>
      <c r="H34" s="52" t="n">
        <f aca="false">H21+H26+H33</f>
        <v>8883.92383046345</v>
      </c>
      <c r="I34" s="52" t="n">
        <f aca="false">I21+I26+I33</f>
        <v>9469.46405913646</v>
      </c>
    </row>
    <row r="36" customFormat="false" ht="15" hidden="false" customHeight="true" outlineLevel="0" collapsed="false">
      <c r="A36" s="44" t="s">
        <v>173</v>
      </c>
      <c r="C36" s="53" t="n">
        <f aca="false">C17-C34</f>
        <v>0</v>
      </c>
      <c r="D36" s="53" t="n">
        <f aca="false">D17-D34</f>
        <v>0</v>
      </c>
      <c r="E36" s="53" t="n">
        <f aca="false">E17-E34</f>
        <v>0</v>
      </c>
      <c r="F36" s="53" t="n">
        <f aca="false">F17-F34</f>
        <v>0</v>
      </c>
      <c r="G36" s="53" t="n">
        <f aca="false">G17-G34</f>
        <v>0</v>
      </c>
      <c r="H36" s="53" t="n">
        <f aca="false">H17-H34</f>
        <v>0</v>
      </c>
      <c r="I36" s="53" t="n">
        <f aca="false">I17-I34</f>
        <v>0</v>
      </c>
    </row>
  </sheetData>
  <printOptions headings="false" gridLines="false" gridLinesSet="true" horizontalCentered="tru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2293F"/>
    <pageSetUpPr fitToPage="true"/>
  </sheetPr>
  <dimension ref="A1:K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33" width="44"/>
    <col collapsed="false" customWidth="true" hidden="false" outlineLevel="0" max="2" min="2" style="33" width="8"/>
    <col collapsed="false" customWidth="true" hidden="false" outlineLevel="0" max="9" min="3" style="33" width="12"/>
    <col collapsed="false" customWidth="true" hidden="false" outlineLevel="0" max="10" min="10" style="33" width="2"/>
    <col collapsed="false" customWidth="true" hidden="false" outlineLevel="0" max="11" min="11" style="33" width="58"/>
  </cols>
  <sheetData>
    <row r="1" customFormat="false" ht="21.75" hidden="false" customHeight="true" outlineLevel="0" collapsed="false">
      <c r="A1" s="34" t="s">
        <v>174</v>
      </c>
    </row>
    <row r="2" customFormat="false" ht="13.5" hidden="false" customHeight="true" outlineLevel="0" collapsed="false">
      <c r="A2" s="35" t="s">
        <v>175</v>
      </c>
    </row>
    <row r="3" customFormat="false" ht="3.75" hidden="false" customHeight="true" outlineLevel="0" collapsed="false">
      <c r="A3" s="36"/>
      <c r="B3" s="36"/>
      <c r="C3" s="36"/>
      <c r="D3" s="36"/>
      <c r="E3" s="36"/>
      <c r="F3" s="36"/>
      <c r="G3" s="36"/>
      <c r="H3" s="36"/>
      <c r="I3" s="36"/>
    </row>
    <row r="5" customFormat="false" ht="21.75" hidden="false" customHeight="true" outlineLevel="0" collapsed="false">
      <c r="A5" s="17" t="s">
        <v>125</v>
      </c>
      <c r="B5" s="41"/>
      <c r="C5" s="18" t="s">
        <v>45</v>
      </c>
      <c r="D5" s="18" t="s">
        <v>46</v>
      </c>
      <c r="E5" s="18" t="s">
        <v>47</v>
      </c>
      <c r="F5" s="18" t="s">
        <v>48</v>
      </c>
      <c r="G5" s="18" t="s">
        <v>49</v>
      </c>
      <c r="H5" s="18" t="s">
        <v>50</v>
      </c>
      <c r="I5" s="18" t="s">
        <v>51</v>
      </c>
    </row>
    <row r="6" customFormat="false" ht="15" hidden="false" customHeight="true" outlineLevel="0" collapsed="false">
      <c r="A6" s="42" t="s">
        <v>176</v>
      </c>
      <c r="B6" s="43"/>
      <c r="C6" s="43"/>
      <c r="D6" s="43"/>
      <c r="E6" s="43"/>
      <c r="F6" s="43"/>
      <c r="G6" s="43"/>
      <c r="H6" s="43"/>
      <c r="I6" s="43"/>
    </row>
    <row r="7" customFormat="false" ht="15" hidden="false" customHeight="true" outlineLevel="0" collapsed="false">
      <c r="A7" s="23" t="s">
        <v>139</v>
      </c>
      <c r="D7" s="50" t="n">
        <f aca="false">'P&amp;L'!D27</f>
        <v>424</v>
      </c>
      <c r="E7" s="50" t="n">
        <f aca="false">'P&amp;L'!E27</f>
        <v>438.2292</v>
      </c>
      <c r="F7" s="50" t="n">
        <f aca="false">'P&amp;L'!F27</f>
        <v>657.656172398329</v>
      </c>
      <c r="G7" s="50" t="n">
        <f aca="false">'P&amp;L'!G27</f>
        <v>898.420540011094</v>
      </c>
      <c r="H7" s="50" t="n">
        <f aca="false">'P&amp;L'!H27</f>
        <v>1097.17695618452</v>
      </c>
      <c r="I7" s="50" t="n">
        <f aca="false">'P&amp;L'!I27</f>
        <v>1295.20462569095</v>
      </c>
    </row>
    <row r="8" customFormat="false" ht="15" hidden="false" customHeight="true" outlineLevel="0" collapsed="false">
      <c r="A8" s="23" t="s">
        <v>134</v>
      </c>
      <c r="D8" s="50" t="n">
        <f aca="false">-'P&amp;L'!D20</f>
        <v>238</v>
      </c>
      <c r="E8" s="50" t="n">
        <f aca="false">-'P&amp;L'!E20</f>
        <v>243.1</v>
      </c>
      <c r="F8" s="50" t="n">
        <f aca="false">-'P&amp;L'!F20</f>
        <v>254.678308</v>
      </c>
      <c r="G8" s="50" t="n">
        <f aca="false">-'P&amp;L'!G20</f>
        <v>265.71897526</v>
      </c>
      <c r="H8" s="50" t="n">
        <f aca="false">-'P&amp;L'!H20</f>
        <v>277.1543094577</v>
      </c>
      <c r="I8" s="50" t="n">
        <f aca="false">-'P&amp;L'!I20</f>
        <v>288.635563983522</v>
      </c>
    </row>
    <row r="9" customFormat="false" ht="15" hidden="false" customHeight="true" outlineLevel="0" collapsed="false">
      <c r="A9" s="23" t="s">
        <v>138</v>
      </c>
      <c r="D9" s="50" t="n">
        <f aca="false">-'P&amp;L'!D26</f>
        <v>88</v>
      </c>
      <c r="E9" s="50" t="n">
        <f aca="false">-'P&amp;L'!E26</f>
        <v>111.1</v>
      </c>
      <c r="F9" s="50" t="n">
        <f aca="false">-'P&amp;L'!F26</f>
        <v>93.6007796016712</v>
      </c>
      <c r="G9" s="50" t="n">
        <f aca="false">-'P&amp;L'!G26</f>
        <v>73.3118757289068</v>
      </c>
      <c r="H9" s="50" t="n">
        <f aca="false">-'P&amp;L'!H26</f>
        <v>53.3239286197847</v>
      </c>
      <c r="I9" s="50" t="n">
        <f aca="false">-'P&amp;L'!I26</f>
        <v>31.8557707431897</v>
      </c>
    </row>
    <row r="10" customFormat="false" ht="15" hidden="false" customHeight="true" outlineLevel="0" collapsed="false">
      <c r="A10" s="44" t="s">
        <v>177</v>
      </c>
      <c r="D10" s="49" t="n">
        <f aca="false">SUM(D7:D9)</f>
        <v>750</v>
      </c>
      <c r="E10" s="49" t="n">
        <f aca="false">SUM(E7:E9)</f>
        <v>792.4292</v>
      </c>
      <c r="F10" s="49" t="n">
        <f aca="false">SUM(F7:F9)</f>
        <v>1005.93526</v>
      </c>
      <c r="G10" s="49" t="n">
        <f aca="false">SUM(G7:G9)</f>
        <v>1237.451391</v>
      </c>
      <c r="H10" s="49" t="n">
        <f aca="false">SUM(H7:H9)</f>
        <v>1427.655194262</v>
      </c>
      <c r="I10" s="49" t="n">
        <f aca="false">SUM(I7:I9)</f>
        <v>1615.69596041766</v>
      </c>
    </row>
    <row r="11" customFormat="false" ht="15" hidden="false" customHeight="true" outlineLevel="0" collapsed="false">
      <c r="A11" s="23" t="s">
        <v>178</v>
      </c>
      <c r="D11" s="50" t="n">
        <f aca="false">-('Balance Sheet'!D12-'Balance Sheet'!C12)</f>
        <v>-125</v>
      </c>
      <c r="E11" s="50" t="n">
        <f aca="false">-('Balance Sheet'!E12-'Balance Sheet'!D12)</f>
        <v>-168.809464109589</v>
      </c>
      <c r="F11" s="50" t="n">
        <f aca="false">-('Balance Sheet'!F12-'Balance Sheet'!E12)</f>
        <v>-111.270846246576</v>
      </c>
      <c r="G11" s="50" t="n">
        <f aca="false">-('Balance Sheet'!G12-'Balance Sheet'!F12)</f>
        <v>-94.4514737446575</v>
      </c>
      <c r="H11" s="50" t="n">
        <f aca="false">-('Balance Sheet'!H12-'Balance Sheet'!G12)</f>
        <v>-107.836943123288</v>
      </c>
      <c r="I11" s="50" t="n">
        <f aca="false">-('Balance Sheet'!I12-'Balance Sheet'!H12)</f>
        <v>-88.7997132491255</v>
      </c>
    </row>
    <row r="12" customFormat="false" ht="15" hidden="false" customHeight="true" outlineLevel="0" collapsed="false">
      <c r="A12" s="23" t="s">
        <v>179</v>
      </c>
      <c r="D12" s="50" t="n">
        <f aca="false">-('Balance Sheet'!D13-'Balance Sheet'!C13)</f>
        <v>-200</v>
      </c>
      <c r="E12" s="50" t="n">
        <f aca="false">-('Balance Sheet'!E13-'Balance Sheet'!D13)</f>
        <v>-149.057534246575</v>
      </c>
      <c r="F12" s="50" t="n">
        <f aca="false">-('Balance Sheet'!F13-'Balance Sheet'!E13)</f>
        <v>-138.594630136987</v>
      </c>
      <c r="G12" s="50" t="n">
        <f aca="false">-('Balance Sheet'!G13-'Balance Sheet'!F13)</f>
        <v>-154.075945205479</v>
      </c>
      <c r="H12" s="50" t="n">
        <f aca="false">-('Balance Sheet'!H13-'Balance Sheet'!G13)</f>
        <v>-135.768479210959</v>
      </c>
      <c r="I12" s="50" t="n">
        <f aca="false">-('Balance Sheet'!I13-'Balance Sheet'!H13)</f>
        <v>-154.266934503452</v>
      </c>
    </row>
    <row r="13" customFormat="false" ht="15" hidden="false" customHeight="true" outlineLevel="0" collapsed="false">
      <c r="A13" s="23" t="s">
        <v>180</v>
      </c>
      <c r="D13" s="50" t="n">
        <f aca="false">-('Balance Sheet'!D14-'Balance Sheet'!C14)</f>
        <v>-30</v>
      </c>
      <c r="E13" s="50" t="n">
        <f aca="false">-('Balance Sheet'!E14-'Balance Sheet'!D14)</f>
        <v>-37.896</v>
      </c>
      <c r="F13" s="50" t="n">
        <f aca="false">-('Balance Sheet'!F14-'Balance Sheet'!E14)</f>
        <v>-32.2896000000001</v>
      </c>
      <c r="G13" s="50" t="n">
        <f aca="false">-('Balance Sheet'!G14-'Balance Sheet'!F14)</f>
        <v>-31.966704</v>
      </c>
      <c r="H13" s="50" t="n">
        <f aca="false">-('Balance Sheet'!H14-'Balance Sheet'!G14)</f>
        <v>-30.97218432</v>
      </c>
      <c r="I13" s="50" t="n">
        <f aca="false">-('Balance Sheet'!I14-'Balance Sheet'!H14)</f>
        <v>-29.2687141824</v>
      </c>
    </row>
    <row r="14" customFormat="false" ht="15" hidden="false" customHeight="true" outlineLevel="0" collapsed="false">
      <c r="A14" s="23" t="s">
        <v>181</v>
      </c>
      <c r="D14" s="50" t="n">
        <f aca="false">('Balance Sheet'!D28-'Balance Sheet'!C28)</f>
        <v>303</v>
      </c>
      <c r="E14" s="50" t="n">
        <f aca="false">('Balance Sheet'!E28-'Balance Sheet'!D28)</f>
        <v>217.426989589041</v>
      </c>
      <c r="F14" s="50" t="n">
        <f aca="false">('Balance Sheet'!F28-'Balance Sheet'!E28)</f>
        <v>160.283215342466</v>
      </c>
      <c r="G14" s="50" t="n">
        <f aca="false">('Balance Sheet'!G28-'Balance Sheet'!F28)</f>
        <v>145.251772545754</v>
      </c>
      <c r="H14" s="50" t="n">
        <f aca="false">('Balance Sheet'!H28-'Balance Sheet'!G28)</f>
        <v>162.356473056439</v>
      </c>
      <c r="I14" s="50" t="n">
        <f aca="false">('Balance Sheet'!I28-'Balance Sheet'!H28)</f>
        <v>143.746235049395</v>
      </c>
    </row>
    <row r="15" customFormat="false" ht="15" hidden="false" customHeight="true" outlineLevel="0" collapsed="false">
      <c r="A15" s="23" t="s">
        <v>182</v>
      </c>
      <c r="D15" s="50" t="n">
        <f aca="false">('Balance Sheet'!D29-'Balance Sheet'!C29)</f>
        <v>75</v>
      </c>
      <c r="E15" s="50" t="n">
        <f aca="false">('Balance Sheet'!E29-'Balance Sheet'!D29)</f>
        <v>79.1726716000002</v>
      </c>
      <c r="F15" s="50" t="n">
        <f aca="false">('Balance Sheet'!F29-'Balance Sheet'!E29)</f>
        <v>57.2311909</v>
      </c>
      <c r="G15" s="50" t="n">
        <f aca="false">('Balance Sheet'!G29-'Balance Sheet'!F29)</f>
        <v>55.1551866866</v>
      </c>
      <c r="H15" s="50" t="n">
        <f aca="false">('Balance Sheet'!H29-'Balance Sheet'!G29)</f>
        <v>54.2214932250421</v>
      </c>
      <c r="I15" s="50" t="n">
        <f aca="false">('Balance Sheet'!I29-'Balance Sheet'!H29)</f>
        <v>50.7555395181551</v>
      </c>
    </row>
    <row r="16" customFormat="false" ht="15" hidden="false" customHeight="true" outlineLevel="0" collapsed="false">
      <c r="A16" s="44" t="s">
        <v>183</v>
      </c>
      <c r="D16" s="49" t="n">
        <f aca="false">SUM(D11:D15)</f>
        <v>23</v>
      </c>
      <c r="E16" s="49" t="n">
        <f aca="false">SUM(E11:E15)</f>
        <v>-59.1633371671234</v>
      </c>
      <c r="F16" s="49" t="n">
        <f aca="false">SUM(F11:F15)</f>
        <v>-64.6406701410963</v>
      </c>
      <c r="G16" s="49" t="n">
        <f aca="false">SUM(G11:G15)</f>
        <v>-80.0871637177832</v>
      </c>
      <c r="H16" s="49" t="n">
        <f aca="false">SUM(H11:H15)</f>
        <v>-57.9996403727665</v>
      </c>
      <c r="I16" s="49" t="n">
        <f aca="false">SUM(I11:I15)</f>
        <v>-77.8335873674276</v>
      </c>
    </row>
    <row r="17" customFormat="false" ht="15" hidden="false" customHeight="true" outlineLevel="0" collapsed="false">
      <c r="A17" s="44" t="s">
        <v>61</v>
      </c>
      <c r="D17" s="49" t="n">
        <f aca="false">D10+D16</f>
        <v>773</v>
      </c>
      <c r="E17" s="49" t="n">
        <f aca="false">E10+E16</f>
        <v>733.265862832876</v>
      </c>
      <c r="F17" s="49" t="n">
        <f aca="false">F10+F16</f>
        <v>941.294589858904</v>
      </c>
      <c r="G17" s="49" t="n">
        <f aca="false">G10+G16</f>
        <v>1157.36422728222</v>
      </c>
      <c r="H17" s="49" t="n">
        <f aca="false">H10+H16</f>
        <v>1369.65555388923</v>
      </c>
      <c r="I17" s="49" t="n">
        <f aca="false">I10+I16</f>
        <v>1537.86237305023</v>
      </c>
    </row>
    <row r="18" customFormat="false" ht="15" hidden="false" customHeight="true" outlineLevel="0" collapsed="false">
      <c r="A18" s="23" t="s">
        <v>184</v>
      </c>
      <c r="D18" s="50" t="n">
        <f aca="false">'P&amp;L'!D26</f>
        <v>-88</v>
      </c>
      <c r="E18" s="50" t="n">
        <f aca="false">'P&amp;L'!E26</f>
        <v>-111.1</v>
      </c>
      <c r="F18" s="50" t="n">
        <f aca="false">'P&amp;L'!F26</f>
        <v>-93.6007796016712</v>
      </c>
      <c r="G18" s="50" t="n">
        <f aca="false">'P&amp;L'!G26</f>
        <v>-73.3118757289068</v>
      </c>
      <c r="H18" s="50" t="n">
        <f aca="false">'P&amp;L'!H26</f>
        <v>-53.3239286197847</v>
      </c>
      <c r="I18" s="50" t="n">
        <f aca="false">'P&amp;L'!I26</f>
        <v>-31.8557707431897</v>
      </c>
    </row>
    <row r="19" customFormat="false" ht="15" hidden="false" customHeight="true" outlineLevel="0" collapsed="false">
      <c r="A19" s="23" t="s">
        <v>185</v>
      </c>
      <c r="D19" s="50" t="n">
        <f aca="false">Schedules!D44</f>
        <v>-59</v>
      </c>
      <c r="E19" s="50" t="n">
        <f aca="false">Schedules!E44</f>
        <v>-150.874223</v>
      </c>
      <c r="F19" s="50" t="n">
        <f aca="false">Schedules!F44</f>
        <v>-102.475902980787</v>
      </c>
      <c r="G19" s="50" t="n">
        <f aca="false">Schedules!G44</f>
        <v>-142.499006178343</v>
      </c>
      <c r="H19" s="50" t="n">
        <f aca="false">Schedules!H44</f>
        <v>-178.072934863997</v>
      </c>
      <c r="I19" s="50" t="n">
        <f aca="false">Schedules!I44</f>
        <v>-211.768610413438</v>
      </c>
    </row>
    <row r="20" customFormat="false" ht="15" hidden="false" customHeight="true" outlineLevel="0" collapsed="false">
      <c r="A20" s="44" t="s">
        <v>186</v>
      </c>
      <c r="D20" s="49" t="n">
        <f aca="false">D17+D18+D19</f>
        <v>626</v>
      </c>
      <c r="E20" s="49" t="n">
        <f aca="false">E17+E18+E19</f>
        <v>471.291639832876</v>
      </c>
      <c r="F20" s="49" t="n">
        <f aca="false">F17+F18+F19</f>
        <v>745.217907276446</v>
      </c>
      <c r="G20" s="49" t="n">
        <f aca="false">G17+G18+G19</f>
        <v>941.553345374967</v>
      </c>
      <c r="H20" s="49" t="n">
        <f aca="false">H17+H18+H19</f>
        <v>1138.25869040545</v>
      </c>
      <c r="I20" s="49" t="n">
        <f aca="false">I17+I18+I19</f>
        <v>1294.2379918936</v>
      </c>
    </row>
    <row r="22" customFormat="false" ht="15" hidden="false" customHeight="true" outlineLevel="0" collapsed="false">
      <c r="A22" s="42" t="s">
        <v>187</v>
      </c>
      <c r="B22" s="43"/>
      <c r="C22" s="43"/>
      <c r="D22" s="43"/>
      <c r="E22" s="43"/>
      <c r="F22" s="43"/>
      <c r="G22" s="43"/>
      <c r="H22" s="43"/>
      <c r="I22" s="43"/>
    </row>
    <row r="23" customFormat="false" ht="15" hidden="false" customHeight="true" outlineLevel="0" collapsed="false">
      <c r="A23" s="23" t="s">
        <v>62</v>
      </c>
      <c r="D23" s="50" t="n">
        <f aca="false">-Schedules!D8</f>
        <v>-286</v>
      </c>
      <c r="E23" s="50" t="n">
        <f aca="false">-Schedules!E8</f>
        <v>-301.3696</v>
      </c>
      <c r="F23" s="50" t="n">
        <f aca="false">-Schedules!F8</f>
        <v>-307.82752</v>
      </c>
      <c r="G23" s="50" t="n">
        <f aca="false">-Schedules!G8</f>
        <v>-322.62692</v>
      </c>
      <c r="H23" s="50" t="n">
        <f aca="false">-Schedules!H8</f>
        <v>-334.499590656</v>
      </c>
      <c r="I23" s="50" t="n">
        <f aca="false">-Schedules!I8</f>
        <v>-357.91456200192</v>
      </c>
    </row>
    <row r="24" customFormat="false" ht="15" hidden="false" customHeight="true" outlineLevel="0" collapsed="false">
      <c r="A24" s="44" t="s">
        <v>188</v>
      </c>
      <c r="D24" s="49" t="n">
        <f aca="false">D23</f>
        <v>-286</v>
      </c>
      <c r="E24" s="49" t="n">
        <f aca="false">E23</f>
        <v>-301.3696</v>
      </c>
      <c r="F24" s="49" t="n">
        <f aca="false">F23</f>
        <v>-307.82752</v>
      </c>
      <c r="G24" s="49" t="n">
        <f aca="false">G23</f>
        <v>-322.62692</v>
      </c>
      <c r="H24" s="49" t="n">
        <f aca="false">H23</f>
        <v>-334.499590656</v>
      </c>
      <c r="I24" s="49" t="n">
        <f aca="false">I23</f>
        <v>-357.91456200192</v>
      </c>
    </row>
    <row r="26" customFormat="false" ht="15" hidden="false" customHeight="true" outlineLevel="0" collapsed="false">
      <c r="A26" s="42" t="s">
        <v>189</v>
      </c>
      <c r="B26" s="43"/>
      <c r="C26" s="43"/>
      <c r="D26" s="43"/>
      <c r="E26" s="43"/>
      <c r="F26" s="43"/>
      <c r="G26" s="43"/>
      <c r="H26" s="43"/>
      <c r="I26" s="43"/>
    </row>
    <row r="27" customFormat="false" ht="15" hidden="false" customHeight="true" outlineLevel="0" collapsed="false">
      <c r="A27" s="23" t="s">
        <v>190</v>
      </c>
      <c r="D27" s="50" t="n">
        <f aca="false">Schedules!D19</f>
        <v>-300</v>
      </c>
      <c r="E27" s="50" t="n">
        <f aca="false">Schedules!E19</f>
        <v>-300</v>
      </c>
      <c r="F27" s="50" t="n">
        <f aca="false">Schedules!F19</f>
        <v>-300</v>
      </c>
      <c r="G27" s="50" t="n">
        <f aca="false">Schedules!G19</f>
        <v>-300</v>
      </c>
      <c r="H27" s="50" t="n">
        <f aca="false">Schedules!H19</f>
        <v>-300</v>
      </c>
      <c r="I27" s="50" t="n">
        <f aca="false">Schedules!I19</f>
        <v>-300</v>
      </c>
    </row>
    <row r="28" customFormat="false" ht="15" hidden="false" customHeight="true" outlineLevel="0" collapsed="false">
      <c r="A28" s="23" t="s">
        <v>191</v>
      </c>
      <c r="D28" s="50" t="n">
        <f aca="false">-Schedules!D30</f>
        <v>-55</v>
      </c>
      <c r="E28" s="50" t="n">
        <f aca="false">-Schedules!E30</f>
        <v>-57.5</v>
      </c>
      <c r="F28" s="50" t="n">
        <f aca="false">-Schedules!F30</f>
        <v>-60.375</v>
      </c>
      <c r="G28" s="50" t="n">
        <f aca="false">-Schedules!G30</f>
        <v>-63.39375</v>
      </c>
      <c r="H28" s="50" t="n">
        <f aca="false">-Schedules!H30</f>
        <v>-66.5634375</v>
      </c>
      <c r="I28" s="50" t="n">
        <f aca="false">-Schedules!I30</f>
        <v>-69.891609375</v>
      </c>
    </row>
    <row r="29" customFormat="false" ht="15" hidden="false" customHeight="true" outlineLevel="0" collapsed="false">
      <c r="A29" s="23" t="s">
        <v>192</v>
      </c>
      <c r="D29" s="50" t="n">
        <f aca="false">Schedules!D50</f>
        <v>0</v>
      </c>
      <c r="E29" s="50" t="n">
        <f aca="false">Schedules!E50</f>
        <v>-0</v>
      </c>
      <c r="F29" s="50" t="n">
        <f aca="false">Schedules!F50</f>
        <v>-0</v>
      </c>
      <c r="G29" s="50" t="n">
        <f aca="false">Schedules!G50</f>
        <v>-223.706714462762</v>
      </c>
      <c r="H29" s="50" t="n">
        <f aca="false">Schedules!H50</f>
        <v>-273.197062089944</v>
      </c>
      <c r="I29" s="50" t="n">
        <f aca="false">Schedules!I50</f>
        <v>-322.505951797046</v>
      </c>
    </row>
    <row r="30" customFormat="false" ht="15" hidden="false" customHeight="true" outlineLevel="0" collapsed="false">
      <c r="A30" s="44" t="s">
        <v>193</v>
      </c>
      <c r="D30" s="49" t="n">
        <f aca="false">SUM(D27:D29)</f>
        <v>-355</v>
      </c>
      <c r="E30" s="49" t="n">
        <f aca="false">SUM(E27:E29)</f>
        <v>-357.5</v>
      </c>
      <c r="F30" s="49" t="n">
        <f aca="false">SUM(F27:F29)</f>
        <v>-360.375</v>
      </c>
      <c r="G30" s="49" t="n">
        <f aca="false">SUM(G27:G29)</f>
        <v>-587.100464462762</v>
      </c>
      <c r="H30" s="49" t="n">
        <f aca="false">SUM(H27:H29)</f>
        <v>-639.760499589944</v>
      </c>
      <c r="I30" s="49" t="n">
        <f aca="false">SUM(I27:I29)</f>
        <v>-692.397561172046</v>
      </c>
    </row>
    <row r="32" customFormat="false" ht="15" hidden="false" customHeight="true" outlineLevel="0" collapsed="false">
      <c r="A32" s="44" t="s">
        <v>194</v>
      </c>
      <c r="D32" s="49" t="n">
        <f aca="false">D20+D24+D30</f>
        <v>-15</v>
      </c>
      <c r="E32" s="49" t="n">
        <f aca="false">E20+E24+E30</f>
        <v>-187.577960167124</v>
      </c>
      <c r="F32" s="49" t="n">
        <f aca="false">F20+F24+F30</f>
        <v>77.0153872764457</v>
      </c>
      <c r="G32" s="49" t="n">
        <f aca="false">G20+G24+G30</f>
        <v>31.8259609122044</v>
      </c>
      <c r="H32" s="49" t="n">
        <f aca="false">H20+H24+H30</f>
        <v>163.998600159507</v>
      </c>
      <c r="I32" s="49" t="n">
        <f aca="false">I20+I24+I30</f>
        <v>243.925868719638</v>
      </c>
    </row>
    <row r="33" customFormat="false" ht="15" hidden="false" customHeight="true" outlineLevel="0" collapsed="false">
      <c r="A33" s="23" t="s">
        <v>195</v>
      </c>
      <c r="D33" s="47" t="n">
        <v>630</v>
      </c>
      <c r="E33" s="50" t="n">
        <f aca="false">'Balance Sheet'!D15</f>
        <v>615</v>
      </c>
      <c r="F33" s="50" t="n">
        <f aca="false">'Balance Sheet'!E15</f>
        <v>427.422039832876</v>
      </c>
      <c r="G33" s="50" t="n">
        <f aca="false">'Balance Sheet'!F15</f>
        <v>504.437427109322</v>
      </c>
      <c r="H33" s="50" t="n">
        <f aca="false">'Balance Sheet'!G15</f>
        <v>536.263388021526</v>
      </c>
      <c r="I33" s="50" t="n">
        <f aca="false">'Balance Sheet'!H15</f>
        <v>700.261988181034</v>
      </c>
    </row>
    <row r="34" customFormat="false" ht="15" hidden="false" customHeight="true" outlineLevel="0" collapsed="false">
      <c r="A34" s="51" t="s">
        <v>64</v>
      </c>
      <c r="C34" s="54"/>
      <c r="D34" s="52" t="n">
        <f aca="false">D32+D33</f>
        <v>615</v>
      </c>
      <c r="E34" s="52" t="n">
        <f aca="false">E32+E33</f>
        <v>427.422039832876</v>
      </c>
      <c r="F34" s="52" t="n">
        <f aca="false">F32+F33</f>
        <v>504.437427109322</v>
      </c>
      <c r="G34" s="52" t="n">
        <f aca="false">G32+G33</f>
        <v>536.263388021526</v>
      </c>
      <c r="H34" s="52" t="n">
        <f aca="false">H32+H33</f>
        <v>700.261988181034</v>
      </c>
      <c r="I34" s="52" t="n">
        <f aca="false">I32+I33</f>
        <v>944.187856900671</v>
      </c>
    </row>
    <row r="36" customFormat="false" ht="15" hidden="false" customHeight="true" outlineLevel="0" collapsed="false">
      <c r="A36" s="44" t="s">
        <v>63</v>
      </c>
      <c r="D36" s="49" t="n">
        <f aca="false">D20+D24</f>
        <v>340</v>
      </c>
      <c r="E36" s="49" t="n">
        <f aca="false">E20+E24</f>
        <v>169.922039832876</v>
      </c>
      <c r="F36" s="49" t="n">
        <f aca="false">F20+F24</f>
        <v>437.390387276446</v>
      </c>
      <c r="G36" s="49" t="n">
        <f aca="false">G20+G24</f>
        <v>618.926425374967</v>
      </c>
      <c r="H36" s="49" t="n">
        <f aca="false">H20+H24</f>
        <v>803.759099749452</v>
      </c>
      <c r="I36" s="49" t="n">
        <f aca="false">I20+I24</f>
        <v>936.323429891684</v>
      </c>
      <c r="K36" s="40" t="s">
        <v>196</v>
      </c>
    </row>
  </sheetData>
  <printOptions headings="false" gridLines="false" gridLinesSet="true" horizontalCentered="tru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AA5B1"/>
    <pageSetUpPr fitToPage="true"/>
  </sheetPr>
  <dimension ref="A1:K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33" width="44"/>
    <col collapsed="false" customWidth="true" hidden="false" outlineLevel="0" max="2" min="2" style="33" width="8"/>
    <col collapsed="false" customWidth="true" hidden="false" outlineLevel="0" max="9" min="3" style="33" width="12"/>
    <col collapsed="false" customWidth="true" hidden="false" outlineLevel="0" max="10" min="10" style="33" width="2"/>
    <col collapsed="false" customWidth="true" hidden="false" outlineLevel="0" max="11" min="11" style="33" width="58"/>
  </cols>
  <sheetData>
    <row r="1" customFormat="false" ht="21.75" hidden="false" customHeight="true" outlineLevel="0" collapsed="false">
      <c r="A1" s="34" t="s">
        <v>197</v>
      </c>
    </row>
    <row r="2" customFormat="false" ht="13.5" hidden="false" customHeight="true" outlineLevel="0" collapsed="false">
      <c r="A2" s="35" t="s">
        <v>198</v>
      </c>
    </row>
    <row r="3" customFormat="false" ht="3.75" hidden="false" customHeight="true" outlineLevel="0" collapsed="false">
      <c r="A3" s="36"/>
      <c r="B3" s="36"/>
      <c r="C3" s="36"/>
      <c r="D3" s="36"/>
      <c r="E3" s="36"/>
      <c r="F3" s="36"/>
      <c r="G3" s="36"/>
      <c r="H3" s="36"/>
      <c r="I3" s="36"/>
    </row>
    <row r="5" customFormat="false" ht="21.75" hidden="false" customHeight="true" outlineLevel="0" collapsed="false">
      <c r="A5" s="17" t="s">
        <v>125</v>
      </c>
      <c r="B5" s="41"/>
      <c r="C5" s="18" t="s">
        <v>45</v>
      </c>
      <c r="D5" s="18" t="s">
        <v>46</v>
      </c>
      <c r="E5" s="18" t="s">
        <v>47</v>
      </c>
      <c r="F5" s="18" t="s">
        <v>48</v>
      </c>
      <c r="G5" s="18" t="s">
        <v>49</v>
      </c>
      <c r="H5" s="18" t="s">
        <v>50</v>
      </c>
      <c r="I5" s="18" t="s">
        <v>51</v>
      </c>
    </row>
    <row r="6" customFormat="false" ht="15" hidden="false" customHeight="true" outlineLevel="0" collapsed="false">
      <c r="A6" s="42" t="s">
        <v>199</v>
      </c>
      <c r="B6" s="43"/>
      <c r="C6" s="43"/>
      <c r="D6" s="43"/>
      <c r="E6" s="43"/>
      <c r="F6" s="43"/>
      <c r="G6" s="43"/>
      <c r="H6" s="43"/>
      <c r="I6" s="43"/>
    </row>
    <row r="7" customFormat="false" ht="15" hidden="false" customHeight="true" outlineLevel="0" collapsed="false">
      <c r="A7" s="23" t="s">
        <v>200</v>
      </c>
      <c r="D7" s="47" t="n">
        <v>1720</v>
      </c>
      <c r="E7" s="50" t="n">
        <f aca="false">D10</f>
        <v>1820</v>
      </c>
      <c r="F7" s="50" t="n">
        <f aca="false">E10</f>
        <v>1930.2696</v>
      </c>
      <c r="G7" s="50" t="n">
        <f aca="false">F10</f>
        <v>2035.418812</v>
      </c>
      <c r="H7" s="50" t="n">
        <f aca="false">G10</f>
        <v>2144.32675674</v>
      </c>
      <c r="I7" s="50" t="n">
        <f aca="false">H10</f>
        <v>2253.6720379383</v>
      </c>
    </row>
    <row r="8" customFormat="false" ht="15" hidden="false" customHeight="true" outlineLevel="0" collapsed="false">
      <c r="A8" s="23" t="s">
        <v>62</v>
      </c>
      <c r="D8" s="47" t="n">
        <v>286</v>
      </c>
      <c r="E8" s="50" t="n">
        <f aca="false">'P&amp;L'!E6*Assumptions!E34</f>
        <v>301.3696</v>
      </c>
      <c r="F8" s="50" t="n">
        <f aca="false">'P&amp;L'!F6*Assumptions!F34</f>
        <v>307.82752</v>
      </c>
      <c r="G8" s="50" t="n">
        <f aca="false">'P&amp;L'!G6*Assumptions!G34</f>
        <v>322.62692</v>
      </c>
      <c r="H8" s="50" t="n">
        <f aca="false">'P&amp;L'!H6*Assumptions!H34</f>
        <v>334.499590656</v>
      </c>
      <c r="I8" s="50" t="n">
        <f aca="false">'P&amp;L'!I6*Assumptions!I34</f>
        <v>357.91456200192</v>
      </c>
    </row>
    <row r="9" customFormat="false" ht="15" hidden="false" customHeight="true" outlineLevel="0" collapsed="false">
      <c r="A9" s="23" t="s">
        <v>201</v>
      </c>
      <c r="D9" s="47" t="n">
        <v>-186</v>
      </c>
      <c r="E9" s="50" t="n">
        <f aca="false">-E7*Assumptions!E35</f>
        <v>-191.1</v>
      </c>
      <c r="F9" s="50" t="n">
        <f aca="false">-F7*Assumptions!F35</f>
        <v>-202.678308</v>
      </c>
      <c r="G9" s="50" t="n">
        <f aca="false">-G7*Assumptions!G35</f>
        <v>-213.71897526</v>
      </c>
      <c r="H9" s="50" t="n">
        <f aca="false">-H7*Assumptions!H35</f>
        <v>-225.1543094577</v>
      </c>
      <c r="I9" s="50" t="n">
        <f aca="false">-I7*Assumptions!I35</f>
        <v>-236.635563983522</v>
      </c>
    </row>
    <row r="10" customFormat="false" ht="15" hidden="false" customHeight="true" outlineLevel="0" collapsed="false">
      <c r="A10" s="44" t="s">
        <v>202</v>
      </c>
      <c r="D10" s="49" t="n">
        <f aca="false">D7+D8+D9</f>
        <v>1820</v>
      </c>
      <c r="E10" s="49" t="n">
        <f aca="false">E7+E8+E9</f>
        <v>1930.2696</v>
      </c>
      <c r="F10" s="49" t="n">
        <f aca="false">F7+F8+F9</f>
        <v>2035.418812</v>
      </c>
      <c r="G10" s="49" t="n">
        <f aca="false">G7+G8+G9</f>
        <v>2144.32675674</v>
      </c>
      <c r="H10" s="49" t="n">
        <f aca="false">H7+H8+H9</f>
        <v>2253.6720379383</v>
      </c>
      <c r="I10" s="49" t="n">
        <f aca="false">I7+I8+I9</f>
        <v>2374.9510359567</v>
      </c>
    </row>
    <row r="12" customFormat="false" ht="15" hidden="false" customHeight="true" outlineLevel="0" collapsed="false">
      <c r="A12" s="42" t="s">
        <v>203</v>
      </c>
      <c r="B12" s="43"/>
      <c r="C12" s="43"/>
      <c r="D12" s="43"/>
      <c r="E12" s="43"/>
      <c r="F12" s="43"/>
      <c r="G12" s="43"/>
      <c r="H12" s="43"/>
      <c r="I12" s="43"/>
    </row>
    <row r="13" customFormat="false" ht="15" hidden="false" customHeight="true" outlineLevel="0" collapsed="false">
      <c r="A13" s="23" t="s">
        <v>204</v>
      </c>
      <c r="D13" s="47" t="n">
        <v>572</v>
      </c>
      <c r="E13" s="50" t="n">
        <f aca="false">D15</f>
        <v>520</v>
      </c>
      <c r="F13" s="50" t="n">
        <f aca="false">E15</f>
        <v>468</v>
      </c>
      <c r="G13" s="50" t="n">
        <f aca="false">F15</f>
        <v>416</v>
      </c>
      <c r="H13" s="50" t="n">
        <f aca="false">G15</f>
        <v>364</v>
      </c>
      <c r="I13" s="50" t="n">
        <f aca="false">H15</f>
        <v>312</v>
      </c>
    </row>
    <row r="14" customFormat="false" ht="15" hidden="false" customHeight="true" outlineLevel="0" collapsed="false">
      <c r="A14" s="23" t="s">
        <v>205</v>
      </c>
      <c r="D14" s="47" t="n">
        <v>-52</v>
      </c>
      <c r="E14" s="50" t="n">
        <f aca="false">-Assumptions!E36</f>
        <v>-52</v>
      </c>
      <c r="F14" s="50" t="n">
        <f aca="false">-Assumptions!F36</f>
        <v>-52</v>
      </c>
      <c r="G14" s="50" t="n">
        <f aca="false">-Assumptions!G36</f>
        <v>-52</v>
      </c>
      <c r="H14" s="50" t="n">
        <f aca="false">-Assumptions!H36</f>
        <v>-52</v>
      </c>
      <c r="I14" s="50" t="n">
        <f aca="false">-Assumptions!I36</f>
        <v>-52</v>
      </c>
    </row>
    <row r="15" customFormat="false" ht="15" hidden="false" customHeight="true" outlineLevel="0" collapsed="false">
      <c r="A15" s="44" t="s">
        <v>206</v>
      </c>
      <c r="D15" s="49" t="n">
        <f aca="false">D13+D14</f>
        <v>520</v>
      </c>
      <c r="E15" s="49" t="n">
        <f aca="false">E13+E14</f>
        <v>468</v>
      </c>
      <c r="F15" s="49" t="n">
        <f aca="false">F13+F14</f>
        <v>416</v>
      </c>
      <c r="G15" s="49" t="n">
        <f aca="false">G13+G14</f>
        <v>364</v>
      </c>
      <c r="H15" s="49" t="n">
        <f aca="false">H13+H14</f>
        <v>312</v>
      </c>
      <c r="I15" s="49" t="n">
        <f aca="false">I13+I14</f>
        <v>260</v>
      </c>
    </row>
    <row r="17" customFormat="false" ht="15" hidden="false" customHeight="true" outlineLevel="0" collapsed="false">
      <c r="A17" s="42" t="s">
        <v>207</v>
      </c>
      <c r="B17" s="43"/>
      <c r="C17" s="43"/>
      <c r="D17" s="43"/>
      <c r="E17" s="43"/>
      <c r="F17" s="43"/>
      <c r="G17" s="43"/>
      <c r="H17" s="43"/>
      <c r="I17" s="43"/>
    </row>
    <row r="18" customFormat="false" ht="15" hidden="false" customHeight="true" outlineLevel="0" collapsed="false">
      <c r="A18" s="23" t="s">
        <v>204</v>
      </c>
      <c r="D18" s="47" t="n">
        <v>1950</v>
      </c>
      <c r="E18" s="50" t="n">
        <f aca="false">D20</f>
        <v>1650</v>
      </c>
      <c r="F18" s="50" t="n">
        <f aca="false">E20</f>
        <v>1350</v>
      </c>
      <c r="G18" s="50" t="n">
        <f aca="false">F20</f>
        <v>1050</v>
      </c>
      <c r="H18" s="50" t="n">
        <f aca="false">G20</f>
        <v>750</v>
      </c>
      <c r="I18" s="50" t="n">
        <f aca="false">H20</f>
        <v>450</v>
      </c>
    </row>
    <row r="19" customFormat="false" ht="15" hidden="false" customHeight="true" outlineLevel="0" collapsed="false">
      <c r="A19" s="23" t="s">
        <v>208</v>
      </c>
      <c r="D19" s="47" t="n">
        <v>-300</v>
      </c>
      <c r="E19" s="50" t="n">
        <f aca="false">-MIN(E18,Assumptions!E46)</f>
        <v>-300</v>
      </c>
      <c r="F19" s="50" t="n">
        <f aca="false">-MIN(F18,Assumptions!F46)</f>
        <v>-300</v>
      </c>
      <c r="G19" s="50" t="n">
        <f aca="false">-MIN(G18,Assumptions!G46)</f>
        <v>-300</v>
      </c>
      <c r="H19" s="50" t="n">
        <f aca="false">-MIN(H18,Assumptions!H46)</f>
        <v>-300</v>
      </c>
      <c r="I19" s="50" t="n">
        <f aca="false">-MIN(I18,Assumptions!I46)</f>
        <v>-300</v>
      </c>
    </row>
    <row r="20" customFormat="false" ht="15" hidden="false" customHeight="true" outlineLevel="0" collapsed="false">
      <c r="A20" s="44" t="s">
        <v>206</v>
      </c>
      <c r="D20" s="49" t="n">
        <f aca="false">D18+D19</f>
        <v>1650</v>
      </c>
      <c r="E20" s="49" t="n">
        <f aca="false">E18+E19</f>
        <v>1350</v>
      </c>
      <c r="F20" s="49" t="n">
        <f aca="false">F18+F19</f>
        <v>1050</v>
      </c>
      <c r="G20" s="49" t="n">
        <f aca="false">G18+G19</f>
        <v>750</v>
      </c>
      <c r="H20" s="49" t="n">
        <f aca="false">H18+H19</f>
        <v>450</v>
      </c>
      <c r="I20" s="49" t="n">
        <f aca="false">I18+I19</f>
        <v>150</v>
      </c>
    </row>
    <row r="21" customFormat="false" ht="15" hidden="false" customHeight="true" outlineLevel="0" collapsed="false">
      <c r="A21" s="23" t="s">
        <v>209</v>
      </c>
      <c r="C21" s="47" t="n">
        <v>300</v>
      </c>
      <c r="D21" s="47" t="n">
        <v>300</v>
      </c>
      <c r="E21" s="50" t="n">
        <f aca="false">MIN(E20,Assumptions!E46)</f>
        <v>300</v>
      </c>
      <c r="F21" s="50" t="n">
        <f aca="false">MIN(F20,Assumptions!F46)</f>
        <v>300</v>
      </c>
      <c r="G21" s="50" t="n">
        <f aca="false">MIN(G20,Assumptions!G46)</f>
        <v>300</v>
      </c>
      <c r="H21" s="50" t="n">
        <f aca="false">MIN(H20,Assumptions!H46)</f>
        <v>300</v>
      </c>
      <c r="I21" s="50" t="n">
        <f aca="false">MIN(I20,Assumptions!I46)</f>
        <v>150</v>
      </c>
    </row>
    <row r="22" customFormat="false" ht="15" hidden="false" customHeight="true" outlineLevel="0" collapsed="false">
      <c r="A22" s="23" t="s">
        <v>210</v>
      </c>
      <c r="D22" s="50" t="n">
        <f aca="false">D20-D21</f>
        <v>1350</v>
      </c>
      <c r="E22" s="50" t="n">
        <f aca="false">E20-E21</f>
        <v>1050</v>
      </c>
      <c r="F22" s="50" t="n">
        <f aca="false">F20-F21</f>
        <v>750</v>
      </c>
      <c r="G22" s="50" t="n">
        <f aca="false">G20-G21</f>
        <v>450</v>
      </c>
      <c r="H22" s="50" t="n">
        <f aca="false">H20-H21</f>
        <v>150</v>
      </c>
      <c r="I22" s="50" t="n">
        <f aca="false">I20-I21</f>
        <v>0</v>
      </c>
    </row>
    <row r="23" customFormat="false" ht="15" hidden="false" customHeight="true" outlineLevel="0" collapsed="false">
      <c r="A23" s="23" t="s">
        <v>211</v>
      </c>
      <c r="D23" s="47" t="n">
        <v>-59</v>
      </c>
      <c r="E23" s="50" t="n">
        <f aca="false">-E18*Assumptions!E47</f>
        <v>-90.75</v>
      </c>
      <c r="F23" s="50" t="n">
        <f aca="false">-F18*Assumptions!F47</f>
        <v>-74.25</v>
      </c>
      <c r="G23" s="50" t="n">
        <f aca="false">-G18*Assumptions!G47</f>
        <v>-57.75</v>
      </c>
      <c r="H23" s="50" t="n">
        <f aca="false">-H18*Assumptions!H47</f>
        <v>-41.25</v>
      </c>
      <c r="I23" s="50" t="n">
        <f aca="false">-I18*Assumptions!I47</f>
        <v>-24.75</v>
      </c>
    </row>
    <row r="25" customFormat="false" ht="15" hidden="false" customHeight="true" outlineLevel="0" collapsed="false">
      <c r="A25" s="42" t="s">
        <v>212</v>
      </c>
      <c r="B25" s="43"/>
      <c r="C25" s="43"/>
      <c r="D25" s="43"/>
      <c r="E25" s="43"/>
      <c r="F25" s="43"/>
      <c r="G25" s="43"/>
      <c r="H25" s="43"/>
      <c r="I25" s="43"/>
    </row>
    <row r="26" customFormat="false" ht="15" hidden="false" customHeight="true" outlineLevel="0" collapsed="false">
      <c r="A26" s="23" t="s">
        <v>204</v>
      </c>
      <c r="D26" s="47" t="n">
        <v>585</v>
      </c>
      <c r="E26" s="50" t="n">
        <f aca="false">D29</f>
        <v>530</v>
      </c>
      <c r="F26" s="50" t="n">
        <f aca="false">E29</f>
        <v>472.5</v>
      </c>
      <c r="G26" s="50" t="n">
        <f aca="false">F29</f>
        <v>412.125</v>
      </c>
      <c r="H26" s="50" t="n">
        <f aca="false">G29</f>
        <v>348.73125</v>
      </c>
      <c r="I26" s="50" t="n">
        <f aca="false">H29</f>
        <v>282.1678125</v>
      </c>
    </row>
    <row r="27" customFormat="false" ht="15" hidden="false" customHeight="true" outlineLevel="0" collapsed="false">
      <c r="A27" s="23" t="s">
        <v>213</v>
      </c>
      <c r="D27" s="47" t="n">
        <v>29</v>
      </c>
      <c r="E27" s="50" t="n">
        <f aca="false">E26*Assumptions!E48</f>
        <v>26.5</v>
      </c>
      <c r="F27" s="50" t="n">
        <f aca="false">F26*Assumptions!F48</f>
        <v>23.625</v>
      </c>
      <c r="G27" s="50" t="n">
        <f aca="false">G26*Assumptions!G48</f>
        <v>20.60625</v>
      </c>
      <c r="H27" s="50" t="n">
        <f aca="false">H26*Assumptions!H48</f>
        <v>17.4365625</v>
      </c>
      <c r="I27" s="50" t="n">
        <f aca="false">I26*Assumptions!I48</f>
        <v>14.108390625</v>
      </c>
    </row>
    <row r="28" customFormat="false" ht="15" hidden="false" customHeight="true" outlineLevel="0" collapsed="false">
      <c r="A28" s="23" t="s">
        <v>214</v>
      </c>
      <c r="D28" s="47" t="n">
        <v>-84</v>
      </c>
      <c r="E28" s="50" t="n">
        <f aca="false">-Assumptions!E49</f>
        <v>-84</v>
      </c>
      <c r="F28" s="50" t="n">
        <f aca="false">-Assumptions!F49</f>
        <v>-84</v>
      </c>
      <c r="G28" s="50" t="n">
        <f aca="false">-Assumptions!G49</f>
        <v>-84</v>
      </c>
      <c r="H28" s="50" t="n">
        <f aca="false">-Assumptions!H49</f>
        <v>-84</v>
      </c>
      <c r="I28" s="50" t="n">
        <f aca="false">-Assumptions!I49</f>
        <v>-84</v>
      </c>
    </row>
    <row r="29" customFormat="false" ht="15" hidden="false" customHeight="true" outlineLevel="0" collapsed="false">
      <c r="A29" s="44" t="s">
        <v>206</v>
      </c>
      <c r="D29" s="49" t="n">
        <f aca="false">D26+D27+D28</f>
        <v>530</v>
      </c>
      <c r="E29" s="49" t="n">
        <f aca="false">E26+E27+E28</f>
        <v>472.5</v>
      </c>
      <c r="F29" s="49" t="n">
        <f aca="false">F26+F27+F28</f>
        <v>412.125</v>
      </c>
      <c r="G29" s="49" t="n">
        <f aca="false">G26+G27+G28</f>
        <v>348.73125</v>
      </c>
      <c r="H29" s="49" t="n">
        <f aca="false">H26+H27+H28</f>
        <v>282.1678125</v>
      </c>
      <c r="I29" s="49" t="n">
        <f aca="false">I26+I27+I28</f>
        <v>212.276203125</v>
      </c>
    </row>
    <row r="30" customFormat="false" ht="15" hidden="false" customHeight="true" outlineLevel="0" collapsed="false">
      <c r="A30" s="23" t="s">
        <v>215</v>
      </c>
      <c r="D30" s="50" t="n">
        <f aca="false">-(D28+D27)</f>
        <v>55</v>
      </c>
      <c r="E30" s="50" t="n">
        <f aca="false">-(E28+E27)</f>
        <v>57.5</v>
      </c>
      <c r="F30" s="50" t="n">
        <f aca="false">-(F28+F27)</f>
        <v>60.375</v>
      </c>
      <c r="G30" s="50" t="n">
        <f aca="false">-(G28+G27)</f>
        <v>63.39375</v>
      </c>
      <c r="H30" s="50" t="n">
        <f aca="false">-(H28+H27)</f>
        <v>66.5634375</v>
      </c>
      <c r="I30" s="50" t="n">
        <f aca="false">-(I28+I27)</f>
        <v>69.891609375</v>
      </c>
      <c r="K30" s="40" t="s">
        <v>216</v>
      </c>
    </row>
    <row r="31" customFormat="false" ht="15" hidden="false" customHeight="true" outlineLevel="0" collapsed="false">
      <c r="A31" s="23" t="s">
        <v>209</v>
      </c>
      <c r="C31" s="47" t="n">
        <v>140</v>
      </c>
      <c r="D31" s="47" t="n">
        <v>145</v>
      </c>
      <c r="E31" s="50" t="n">
        <f aca="false">MIN(E29,MAX(0,Assumptions!E49-E29*Assumptions!E48))</f>
        <v>60.375</v>
      </c>
      <c r="F31" s="50" t="n">
        <f aca="false">MIN(F29,MAX(0,Assumptions!F49-F29*Assumptions!F48))</f>
        <v>63.39375</v>
      </c>
      <c r="G31" s="50" t="n">
        <f aca="false">MIN(G29,MAX(0,Assumptions!G49-G29*Assumptions!G48))</f>
        <v>66.5634375</v>
      </c>
      <c r="H31" s="50" t="n">
        <f aca="false">MIN(H29,MAX(0,Assumptions!H49-H29*Assumptions!H48))</f>
        <v>69.891609375</v>
      </c>
      <c r="I31" s="50" t="n">
        <f aca="false">MIN(I29,MAX(0,Assumptions!I49-I29*Assumptions!I48))</f>
        <v>73.38618984375</v>
      </c>
    </row>
    <row r="32" customFormat="false" ht="15" hidden="false" customHeight="true" outlineLevel="0" collapsed="false">
      <c r="A32" s="23" t="s">
        <v>210</v>
      </c>
      <c r="D32" s="50" t="n">
        <f aca="false">D29-D31</f>
        <v>385</v>
      </c>
      <c r="E32" s="50" t="n">
        <f aca="false">E29-E31</f>
        <v>412.125</v>
      </c>
      <c r="F32" s="50" t="n">
        <f aca="false">F29-F31</f>
        <v>348.73125</v>
      </c>
      <c r="G32" s="50" t="n">
        <f aca="false">G29-G31</f>
        <v>282.1678125</v>
      </c>
      <c r="H32" s="50" t="n">
        <f aca="false">H29-H31</f>
        <v>212.276203125</v>
      </c>
      <c r="I32" s="50" t="n">
        <f aca="false">I29-I31</f>
        <v>138.89001328125</v>
      </c>
    </row>
    <row r="34" customFormat="false" ht="15" hidden="false" customHeight="true" outlineLevel="0" collapsed="false">
      <c r="A34" s="42" t="s">
        <v>217</v>
      </c>
      <c r="B34" s="43"/>
      <c r="C34" s="43"/>
      <c r="D34" s="43"/>
      <c r="E34" s="43"/>
      <c r="F34" s="43"/>
      <c r="G34" s="43"/>
      <c r="H34" s="43"/>
      <c r="I34" s="43"/>
    </row>
    <row r="35" customFormat="false" ht="15" hidden="false" customHeight="true" outlineLevel="0" collapsed="false">
      <c r="A35" s="23" t="s">
        <v>151</v>
      </c>
      <c r="C35" s="47" t="n">
        <v>2010</v>
      </c>
      <c r="D35" s="47" t="n">
        <v>2210</v>
      </c>
      <c r="E35" s="50" t="n">
        <f aca="false">Assumptions!E39*'P&amp;L'!E6/365</f>
        <v>2359.05753424658</v>
      </c>
      <c r="F35" s="50" t="n">
        <f aca="false">Assumptions!F39*'P&amp;L'!F6/365</f>
        <v>2497.65216438356</v>
      </c>
      <c r="G35" s="50" t="n">
        <f aca="false">Assumptions!G39*'P&amp;L'!G6/365</f>
        <v>2651.72810958904</v>
      </c>
      <c r="H35" s="50" t="n">
        <f aca="false">Assumptions!H39*'P&amp;L'!H6/365</f>
        <v>2787.4965888</v>
      </c>
      <c r="I35" s="50" t="n">
        <f aca="false">Assumptions!I39*'P&amp;L'!I6/365</f>
        <v>2941.76352330345</v>
      </c>
    </row>
    <row r="36" customFormat="false" ht="15" hidden="false" customHeight="true" outlineLevel="0" collapsed="false">
      <c r="A36" s="23" t="s">
        <v>150</v>
      </c>
      <c r="C36" s="47" t="n">
        <v>1720</v>
      </c>
      <c r="D36" s="47" t="n">
        <v>1845</v>
      </c>
      <c r="E36" s="50" t="n">
        <f aca="false">Assumptions!E40*-'P&amp;L'!E9/365</f>
        <v>2013.80946410959</v>
      </c>
      <c r="F36" s="50" t="n">
        <f aca="false">Assumptions!F40*-'P&amp;L'!F9/365</f>
        <v>2125.08031035617</v>
      </c>
      <c r="G36" s="50" t="n">
        <f aca="false">Assumptions!G40*-'P&amp;L'!G9/365</f>
        <v>2219.53178410082</v>
      </c>
      <c r="H36" s="50" t="n">
        <f aca="false">Assumptions!H40*-'P&amp;L'!H9/365</f>
        <v>2327.36872722411</v>
      </c>
      <c r="I36" s="50" t="n">
        <f aca="false">Assumptions!I40*-'P&amp;L'!I9/365</f>
        <v>2416.16844047324</v>
      </c>
    </row>
    <row r="37" customFormat="false" ht="15" hidden="false" customHeight="true" outlineLevel="0" collapsed="false">
      <c r="A37" s="23" t="s">
        <v>152</v>
      </c>
      <c r="C37" s="47" t="n">
        <v>255</v>
      </c>
      <c r="D37" s="47" t="n">
        <v>285</v>
      </c>
      <c r="E37" s="50" t="n">
        <f aca="false">'P&amp;L'!E6*Assumptions!E42</f>
        <v>322.896</v>
      </c>
      <c r="F37" s="50" t="n">
        <f aca="false">'P&amp;L'!F6*Assumptions!F42</f>
        <v>355.1856</v>
      </c>
      <c r="G37" s="50" t="n">
        <f aca="false">'P&amp;L'!G6*Assumptions!G42</f>
        <v>387.152304</v>
      </c>
      <c r="H37" s="50" t="n">
        <f aca="false">'P&amp;L'!H6*Assumptions!H42</f>
        <v>418.12448832</v>
      </c>
      <c r="I37" s="50" t="n">
        <f aca="false">'P&amp;L'!I6*Assumptions!I42</f>
        <v>447.3932025024</v>
      </c>
    </row>
    <row r="38" customFormat="false" ht="15" hidden="false" customHeight="true" outlineLevel="0" collapsed="false">
      <c r="A38" s="23" t="s">
        <v>166</v>
      </c>
      <c r="C38" s="47" t="n">
        <v>1845</v>
      </c>
      <c r="D38" s="47" t="n">
        <v>2148</v>
      </c>
      <c r="E38" s="50" t="n">
        <f aca="false">Assumptions!E41*-'P&amp;L'!E9/365</f>
        <v>2365.42698958904</v>
      </c>
      <c r="F38" s="50" t="n">
        <f aca="false">Assumptions!F41*-'P&amp;L'!F9/365</f>
        <v>2525.71020493151</v>
      </c>
      <c r="G38" s="50" t="n">
        <f aca="false">Assumptions!G41*-'P&amp;L'!G9/365</f>
        <v>2670.96197747726</v>
      </c>
      <c r="H38" s="50" t="n">
        <f aca="false">Assumptions!H41*-'P&amp;L'!H9/365</f>
        <v>2833.3184505337</v>
      </c>
      <c r="I38" s="50" t="n">
        <f aca="false">Assumptions!I41*-'P&amp;L'!I9/365</f>
        <v>2977.06468558309</v>
      </c>
    </row>
    <row r="39" customFormat="false" ht="15" hidden="false" customHeight="true" outlineLevel="0" collapsed="false">
      <c r="A39" s="23" t="s">
        <v>167</v>
      </c>
      <c r="C39" s="47" t="n">
        <v>545</v>
      </c>
      <c r="D39" s="47" t="n">
        <v>620</v>
      </c>
      <c r="E39" s="50" t="n">
        <f aca="false">-'P&amp;L'!E16*Assumptions!E43</f>
        <v>699.1726716</v>
      </c>
      <c r="F39" s="50" t="n">
        <f aca="false">-'P&amp;L'!F16*Assumptions!F43</f>
        <v>756.4038625</v>
      </c>
      <c r="G39" s="50" t="n">
        <f aca="false">-'P&amp;L'!G16*Assumptions!G43</f>
        <v>811.5590491866</v>
      </c>
      <c r="H39" s="50" t="n">
        <f aca="false">-'P&amp;L'!H16*Assumptions!H43</f>
        <v>865.780542411642</v>
      </c>
      <c r="I39" s="50" t="n">
        <f aca="false">-'P&amp;L'!I16*Assumptions!I43</f>
        <v>916.536081929797</v>
      </c>
    </row>
    <row r="41" customFormat="false" ht="15" hidden="false" customHeight="true" outlineLevel="0" collapsed="false">
      <c r="A41" s="42" t="s">
        <v>218</v>
      </c>
      <c r="B41" s="43"/>
      <c r="C41" s="43"/>
      <c r="D41" s="43"/>
      <c r="E41" s="43"/>
      <c r="F41" s="43"/>
      <c r="G41" s="43"/>
      <c r="H41" s="43"/>
      <c r="I41" s="43"/>
    </row>
    <row r="42" customFormat="false" ht="15" hidden="false" customHeight="true" outlineLevel="0" collapsed="false">
      <c r="A42" s="23" t="s">
        <v>219</v>
      </c>
      <c r="D42" s="47" t="n">
        <v>82</v>
      </c>
      <c r="E42" s="50" t="n">
        <f aca="false">D45</f>
        <v>95</v>
      </c>
      <c r="F42" s="50" t="n">
        <f aca="false">E45</f>
        <v>18.624741</v>
      </c>
      <c r="G42" s="50" t="n">
        <f aca="false">F45</f>
        <v>27.950387326929</v>
      </c>
      <c r="H42" s="50" t="n">
        <f aca="false">G45</f>
        <v>38.1828729504715</v>
      </c>
      <c r="I42" s="50" t="n">
        <f aca="false">H45</f>
        <v>46.6300206378419</v>
      </c>
    </row>
    <row r="43" customFormat="false" ht="15" hidden="false" customHeight="true" outlineLevel="0" collapsed="false">
      <c r="A43" s="23" t="s">
        <v>220</v>
      </c>
      <c r="D43" s="50" t="n">
        <f aca="false">-'P&amp;L'!D28</f>
        <v>72</v>
      </c>
      <c r="E43" s="50" t="n">
        <f aca="false">-'P&amp;L'!E28</f>
        <v>74.4989639999999</v>
      </c>
      <c r="F43" s="50" t="n">
        <f aca="false">-'P&amp;L'!F28</f>
        <v>111.801549307716</v>
      </c>
      <c r="G43" s="50" t="n">
        <f aca="false">-'P&amp;L'!G28</f>
        <v>152.731491801886</v>
      </c>
      <c r="H43" s="50" t="n">
        <f aca="false">-'P&amp;L'!H28</f>
        <v>186.520082551368</v>
      </c>
      <c r="I43" s="50" t="n">
        <f aca="false">-'P&amp;L'!I28</f>
        <v>220.184786367461</v>
      </c>
    </row>
    <row r="44" customFormat="false" ht="15" hidden="false" customHeight="true" outlineLevel="0" collapsed="false">
      <c r="A44" s="23" t="s">
        <v>185</v>
      </c>
      <c r="D44" s="47" t="n">
        <v>-59</v>
      </c>
      <c r="E44" s="50" t="n">
        <f aca="false">-(E42+E43*(1-Assumptions!E52))</f>
        <v>-150.874223</v>
      </c>
      <c r="F44" s="50" t="n">
        <f aca="false">-(F42+F43*(1-Assumptions!F52))</f>
        <v>-102.475902980787</v>
      </c>
      <c r="G44" s="50" t="n">
        <f aca="false">-(G42+G43*(1-Assumptions!G52))</f>
        <v>-142.499006178343</v>
      </c>
      <c r="H44" s="50" t="n">
        <f aca="false">-(H42+H43*(1-Assumptions!H52))</f>
        <v>-178.072934863997</v>
      </c>
      <c r="I44" s="50" t="n">
        <f aca="false">-(I42+I43*(1-Assumptions!I52))</f>
        <v>-211.768610413438</v>
      </c>
    </row>
    <row r="45" customFormat="false" ht="15" hidden="false" customHeight="true" outlineLevel="0" collapsed="false">
      <c r="A45" s="44" t="s">
        <v>221</v>
      </c>
      <c r="D45" s="49" t="n">
        <f aca="false">D42+D43+D44</f>
        <v>95</v>
      </c>
      <c r="E45" s="49" t="n">
        <f aca="false">E42+E43+E44</f>
        <v>18.624741</v>
      </c>
      <c r="F45" s="49" t="n">
        <f aca="false">F42+F43+F44</f>
        <v>27.950387326929</v>
      </c>
      <c r="G45" s="49" t="n">
        <f aca="false">G42+G43+G44</f>
        <v>38.1828729504715</v>
      </c>
      <c r="H45" s="49" t="n">
        <f aca="false">H42+H43+H44</f>
        <v>46.6300206378419</v>
      </c>
      <c r="I45" s="49" t="n">
        <f aca="false">I42+I43+I44</f>
        <v>55.0461965918653</v>
      </c>
    </row>
    <row r="47" customFormat="false" ht="15" hidden="false" customHeight="true" outlineLevel="0" collapsed="false">
      <c r="A47" s="42" t="s">
        <v>222</v>
      </c>
      <c r="B47" s="43"/>
      <c r="C47" s="43"/>
      <c r="D47" s="43"/>
      <c r="E47" s="43"/>
      <c r="F47" s="43"/>
      <c r="G47" s="43"/>
      <c r="H47" s="43"/>
      <c r="I47" s="43"/>
    </row>
    <row r="48" customFormat="false" ht="15" hidden="false" customHeight="true" outlineLevel="0" collapsed="false">
      <c r="A48" s="23" t="s">
        <v>223</v>
      </c>
      <c r="D48" s="47" t="n">
        <v>1390</v>
      </c>
      <c r="E48" s="50" t="n">
        <f aca="false">D51</f>
        <v>1742</v>
      </c>
      <c r="F48" s="50" t="n">
        <f aca="false">E51</f>
        <v>2105.730236</v>
      </c>
      <c r="G48" s="50" t="n">
        <f aca="false">F51</f>
        <v>2651.58485909061</v>
      </c>
      <c r="H48" s="50" t="n">
        <f aca="false">G51</f>
        <v>3173.56719283706</v>
      </c>
      <c r="I48" s="50" t="n">
        <f aca="false">H51</f>
        <v>3811.02700438026</v>
      </c>
    </row>
    <row r="49" customFormat="false" ht="15" hidden="false" customHeight="true" outlineLevel="0" collapsed="false">
      <c r="A49" s="23" t="s">
        <v>59</v>
      </c>
      <c r="D49" s="50" t="n">
        <f aca="false">'P&amp;L'!D29</f>
        <v>352</v>
      </c>
      <c r="E49" s="50" t="n">
        <f aca="false">'P&amp;L'!E29</f>
        <v>363.730236</v>
      </c>
      <c r="F49" s="50" t="n">
        <f aca="false">'P&amp;L'!F29</f>
        <v>545.854623090613</v>
      </c>
      <c r="G49" s="50" t="n">
        <f aca="false">'P&amp;L'!G29</f>
        <v>745.689048209208</v>
      </c>
      <c r="H49" s="50" t="n">
        <f aca="false">'P&amp;L'!H29</f>
        <v>910.656873633148</v>
      </c>
      <c r="I49" s="50" t="n">
        <f aca="false">'P&amp;L'!I29</f>
        <v>1075.01983932349</v>
      </c>
    </row>
    <row r="50" customFormat="false" ht="15" hidden="false" customHeight="true" outlineLevel="0" collapsed="false">
      <c r="A50" s="23" t="s">
        <v>192</v>
      </c>
      <c r="D50" s="47" t="n">
        <v>0</v>
      </c>
      <c r="E50" s="50" t="n">
        <f aca="false">-MAX(0,'P&amp;L'!E29)*Assumptions!E53</f>
        <v>-0</v>
      </c>
      <c r="F50" s="50" t="n">
        <f aca="false">-MAX(0,'P&amp;L'!F29)*Assumptions!F53</f>
        <v>-0</v>
      </c>
      <c r="G50" s="50" t="n">
        <f aca="false">-MAX(0,'P&amp;L'!G29)*Assumptions!G53</f>
        <v>-223.706714462762</v>
      </c>
      <c r="H50" s="50" t="n">
        <f aca="false">-MAX(0,'P&amp;L'!H29)*Assumptions!H53</f>
        <v>-273.197062089944</v>
      </c>
      <c r="I50" s="50" t="n">
        <f aca="false">-MAX(0,'P&amp;L'!I29)*Assumptions!I53</f>
        <v>-322.505951797046</v>
      </c>
    </row>
    <row r="51" customFormat="false" ht="15" hidden="false" customHeight="true" outlineLevel="0" collapsed="false">
      <c r="A51" s="44" t="s">
        <v>224</v>
      </c>
      <c r="D51" s="49" t="n">
        <f aca="false">D48+D49+D50</f>
        <v>1742</v>
      </c>
      <c r="E51" s="49" t="n">
        <f aca="false">E48+E49+E50</f>
        <v>2105.730236</v>
      </c>
      <c r="F51" s="49" t="n">
        <f aca="false">F48+F49+F50</f>
        <v>2651.58485909061</v>
      </c>
      <c r="G51" s="49" t="n">
        <f aca="false">G48+G49+G50</f>
        <v>3173.56719283706</v>
      </c>
      <c r="H51" s="49" t="n">
        <f aca="false">H48+H49+H50</f>
        <v>3811.02700438026</v>
      </c>
      <c r="I51" s="49" t="n">
        <f aca="false">I48+I49+I50</f>
        <v>4563.5408919067</v>
      </c>
    </row>
  </sheetData>
  <printOptions headings="false" gridLines="false" gridLinesSet="true" horizontalCentered="tru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2026-07-26T23:49:06Z</dcterms:created>
  <dc:creator>openpyxl</dc:creator>
  <dc:description/>
  <dc:language>en-US</dc:language>
  <cp:lastModifiedBy/>
  <dcterms:modified xsi:type="dcterms:W3CDTF">2026-07-26T23:51:26Z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