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Executive Summary" sheetId="2" state="visible" r:id="rId4"/>
    <sheet name="P&amp;L" sheetId="3" state="visible" r:id="rId5"/>
    <sheet name="Balance Sheet" sheetId="4" state="visible" r:id="rId6"/>
    <sheet name="Cash Flow" sheetId="5" state="visible" r:id="rId7"/>
    <sheet name="KPIs" sheetId="6" state="visible" r:id="rId8"/>
    <sheet name="Data"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<sst xmlns="http://schemas.openxmlformats.org/spreadsheetml/2006/main" count="1196" uniqueCount="263">
  <si>
    <t xml:space="preserve">Kestrel Nutrition Kft.</t>
  </si>
  <si>
    <t xml:space="preserve">MONTHLY MANAGEMENT ACCOUNTS</t>
  </si>
  <si>
    <t xml:space="preserve">Period ended 30 June 2026  ·  Month 6 of FY2026</t>
  </si>
  <si>
    <t xml:space="preserve">Entity</t>
  </si>
  <si>
    <t xml:space="preserve">Business</t>
  </si>
  <si>
    <t xml:space="preserve">Consumer health &amp; VMS distributor — Hungary, Poland, Romania, Czechia</t>
  </si>
  <si>
    <t xml:space="preserve">Reporting currency</t>
  </si>
  <si>
    <t xml:space="preserve">EUR, presented in thousands</t>
  </si>
  <si>
    <t xml:space="preserve">Basis of preparation</t>
  </si>
  <si>
    <t xml:space="preserve">IFRS as adopted by the EU; management accounts are unaudited</t>
  </si>
  <si>
    <t xml:space="preserve">Prepared by</t>
  </si>
  <si>
    <t xml:space="preserve">Tarlan Charkasov, ACCA</t>
  </si>
  <si>
    <t xml:space="preserve">Date issued</t>
  </si>
  <si>
    <t xml:space="preserve">14 July 2026</t>
  </si>
  <si>
    <t xml:space="preserve">Status</t>
  </si>
  <si>
    <t xml:space="preserve">Draft for review by the board</t>
  </si>
  <si>
    <t xml:space="preserve">CONTENTS</t>
  </si>
  <si>
    <t xml:space="preserve">Executive Summary</t>
  </si>
  <si>
    <t xml:space="preserve">Headline KPIs, monthly trend charts, commentary and agreed actions</t>
  </si>
  <si>
    <t xml:space="preserve">P&amp;L</t>
  </si>
  <si>
    <t xml:space="preserve">Month and year to date against budget and prior year, with variance analysis</t>
  </si>
  <si>
    <t xml:space="preserve">Balance Sheet</t>
  </si>
  <si>
    <t xml:space="preserve">Position at 30 June 2026 against the year end and prior year</t>
  </si>
  <si>
    <t xml:space="preserve">Cash Flow</t>
  </si>
  <si>
    <t xml:space="preserve">Indirect method, derived from the P&amp;L and balance sheet movements</t>
  </si>
  <si>
    <t xml:space="preserve">KPIs</t>
  </si>
  <si>
    <t xml:space="preserve">Profitability, working capital days and leverage against plan targets</t>
  </si>
  <si>
    <t xml:space="preserve">Data</t>
  </si>
  <si>
    <t xml:space="preserve">Every input in the pack — change one cell to roll it to the next month</t>
  </si>
  <si>
    <t xml:space="preserve">SAMPLE DOCUMENT.  Kestrel Nutrition Kft. is a fictional company and every figure in this pack is illustrative. It is published as a work sample to show reporting format, analytical depth and model structure — no client data appears anywhere in this file.</t>
  </si>
  <si>
    <t xml:space="preserve">Kestrel Nutrition Kft. — Executive summary</t>
  </si>
  <si>
    <t xml:space="preserve">Consumer health &amp; VMS distributor — Hungary, Poland, Romania, Czechia  |  Management accounts for June 2026  |  Year to date, EUR '000</t>
  </si>
  <si>
    <t xml:space="preserve">NET REVENUE  YTD</t>
  </si>
  <si>
    <t xml:space="preserve">EBITDA  YTD</t>
  </si>
  <si>
    <t xml:space="preserve">GROSS MARGIN</t>
  </si>
  <si>
    <t xml:space="preserve">CASH AT 30 JUN</t>
  </si>
  <si>
    <t xml:space="preserve">NET DEBT / EBITDA</t>
  </si>
  <si>
    <t xml:space="preserve">COMMENTARY</t>
  </si>
  <si>
    <t xml:space="preserve">Trading</t>
  </si>
  <si>
    <t xml:space="preserve">Net revenue of EUR 5.84m is 3.0% ahead of budget and 16.5% up on the prior year. Growth is volume-led rather than price-led, with Poland and the e-commerce channel contributing most of the increase.</t>
  </si>
  <si>
    <t xml:space="preserve">Margin — the real story</t>
  </si>
  <si>
    <t xml:space="preserve">Gross margin of 45.4% is 1.4pp below budget and 0.6pp below last year. Around two thirds of the shortfall is trade investment: discounts and rebates ran at 11.6% of gross sales against a plan of 10.8%. The balance is USD purchase cost on imported finished goods. In short, the revenue beat was bought rather than earned.</t>
  </si>
  <si>
    <t xml:space="preserve">Costs</t>
  </si>
  <si>
    <t xml:space="preserve">EBITDA of EUR 525k is EUR 62k ahead of budget, but the entire favourable variance sits in sales &amp; marketing phasing — EUR 124k of planned H1 campaign spend has slipped into Q3. Stripping that out, the underlying result is behind plan.</t>
  </si>
  <si>
    <t xml:space="preserve">Cash &amp; working capital</t>
  </si>
  <si>
    <t xml:space="preserve">Cash fell EUR 250k in the half to EUR 365k. Operating cash of EUR 161k did not cover EUR 185k of capex and EUR 226k of debt and lease repayment. Working capital absorbed EUR 250k, with inventory 8 days and receivables 4 days above target.</t>
  </si>
  <si>
    <t xml:space="preserve">Leverage</t>
  </si>
  <si>
    <t xml:space="preserve">Net debt / LTM EBITDA of 1.81x sits inside the 2.25x bank covenant but through the 1.75x internal ceiling. Headroom is adequate, not comfortable.</t>
  </si>
  <si>
    <t xml:space="preserve">Full-year outlook</t>
  </si>
  <si>
    <t xml:space="preserve">Carrying the current 1.4pp margin gap across the remaining EUR 5.2m of budgeted revenue costs roughly EUR 75k. On that basis full-year EBITDA lands near EUR 805k against the EUR 880k budget — a 9% miss — unless trade terms are reset in Q3.</t>
  </si>
  <si>
    <t xml:space="preserve">ACTIONS AGREED</t>
  </si>
  <si>
    <t xml:space="preserve">Area</t>
  </si>
  <si>
    <t xml:space="preserve">Action</t>
  </si>
  <si>
    <t xml:space="preserve">Owner</t>
  </si>
  <si>
    <t xml:space="preserve">Due</t>
  </si>
  <si>
    <t xml:space="preserve">Commercial</t>
  </si>
  <si>
    <t xml:space="preserve">Category-level review of discount and rebate terms in Romania and Hungary; target recovery of 0.6pp by Q4.</t>
  </si>
  <si>
    <t xml:space="preserve">Commercial Director</t>
  </si>
  <si>
    <t xml:space="preserve">15 Aug</t>
  </si>
  <si>
    <t xml:space="preserve">Marketing</t>
  </si>
  <si>
    <t xml:space="preserve">Hold the Q3 A&amp;P release until the margin recovery plan is signed off — this EUR 124k is the swing between hitting and missing the year.</t>
  </si>
  <si>
    <t xml:space="preserve">CMO / FP&amp;A</t>
  </si>
  <si>
    <t xml:space="preserve">31 Jul</t>
  </si>
  <si>
    <t xml:space="preserve">Supply</t>
  </si>
  <si>
    <t xml:space="preserve">Clear slow-moving sports nutrition lines (c. EUR 180k at cost) before the autumn intake.</t>
  </si>
  <si>
    <t xml:space="preserve">Supply Chain</t>
  </si>
  <si>
    <t xml:space="preserve">30 Sep</t>
  </si>
  <si>
    <t xml:space="preserve">Credit</t>
  </si>
  <si>
    <t xml:space="preserve">Top ten Romanian pharmacy accounts onto stop-list review at 60 days past due.</t>
  </si>
  <si>
    <t xml:space="preserve">Credit Control</t>
  </si>
  <si>
    <t xml:space="preserve">8 Aug</t>
  </si>
  <si>
    <t xml:space="preserve">Finance</t>
  </si>
  <si>
    <t xml:space="preserve">Full-year reforecast including FX on Q4 USD purchases.</t>
  </si>
  <si>
    <t xml:space="preserve">FP&amp;A</t>
  </si>
  <si>
    <t xml:space="preserve">Prepared by Tarlan Charkasov, ACCA</t>
  </si>
  <si>
    <t xml:space="preserve">Kestrel Nutrition Kft. — Profit &amp; Loss account</t>
  </si>
  <si>
    <t xml:space="preserve">Management accounts (unaudited)  |  Period: June 2026  |  All figures EUR '000  |  Favourable variances shown positive</t>
  </si>
  <si>
    <t xml:space="preserve">Month — Jun 2026</t>
  </si>
  <si>
    <t xml:space="preserve">Year to date — Jan to Jun 2026</t>
  </si>
  <si>
    <t xml:space="preserve">Full year 2026</t>
  </si>
  <si>
    <t xml:space="preserve">EUR '000</t>
  </si>
  <si>
    <t xml:space="preserve">Actual</t>
  </si>
  <si>
    <t xml:space="preserve">Budget</t>
  </si>
  <si>
    <t xml:space="preserve">Variance</t>
  </si>
  <si>
    <t xml:space="preserve">Var %</t>
  </si>
  <si>
    <t xml:space="preserve">Prior year</t>
  </si>
  <si>
    <t xml:space="preserve">YoY %</t>
  </si>
  <si>
    <t xml:space="preserve">% delivered</t>
  </si>
  <si>
    <t xml:space="preserve">Gross sales</t>
  </si>
  <si>
    <t xml:space="preserve">Trade discounts &amp; rebates</t>
  </si>
  <si>
    <t xml:space="preserve">Net revenue</t>
  </si>
  <si>
    <t xml:space="preserve">Cost of goods sold</t>
  </si>
  <si>
    <t xml:space="preserve">Gross profit</t>
  </si>
  <si>
    <t xml:space="preserve">Gross margin %</t>
  </si>
  <si>
    <t xml:space="preserve">Distribution &amp; logistics</t>
  </si>
  <si>
    <t xml:space="preserve">Sales &amp; marketing</t>
  </si>
  <si>
    <t xml:space="preserve">Personnel costs</t>
  </si>
  <si>
    <t xml:space="preserve">Other operating expenses</t>
  </si>
  <si>
    <t xml:space="preserve">Total operating expenses</t>
  </si>
  <si>
    <t xml:space="preserve">EBITDA</t>
  </si>
  <si>
    <t xml:space="preserve">EBITDA margin %</t>
  </si>
  <si>
    <t xml:space="preserve">Depreciation &amp; amortisation</t>
  </si>
  <si>
    <t xml:space="preserve">EBIT</t>
  </si>
  <si>
    <t xml:space="preserve">Net finance costs</t>
  </si>
  <si>
    <t xml:space="preserve">Profit before tax</t>
  </si>
  <si>
    <t xml:space="preserve">Income tax</t>
  </si>
  <si>
    <t xml:space="preserve">Net profit</t>
  </si>
  <si>
    <t xml:space="preserve">Net margin %</t>
  </si>
  <si>
    <t xml:space="preserve">Prepared by Tarlan Charkasov, ACCA.  Costs are shown as negatives; a positive variance is favourable.  June is the seasonal low point of the year for this category, so the month in isolation is close to breakeven in both actual and budget — read the year to date columns for the trading picture.</t>
  </si>
  <si>
    <t xml:space="preserve">Kestrel Nutrition Kft. — Balance sheet</t>
  </si>
  <si>
    <t xml:space="preserve">As at 30 June 2026  |  All figures EUR '000  |  Prepared under IFRS as adopted by the EU</t>
  </si>
  <si>
    <t xml:space="preserve">30-Jun-26</t>
  </si>
  <si>
    <t xml:space="preserve">31-Dec-25</t>
  </si>
  <si>
    <t xml:space="preserve">Movement</t>
  </si>
  <si>
    <t xml:space="preserve">30-Jun-25</t>
  </si>
  <si>
    <t xml:space="preserve">YoY movement</t>
  </si>
  <si>
    <t xml:space="preserve">Non-current assets</t>
  </si>
  <si>
    <t xml:space="preserve">Intangible assets</t>
  </si>
  <si>
    <t xml:space="preserve">Property, plant &amp; equipment</t>
  </si>
  <si>
    <t xml:space="preserve">Right-of-use assets</t>
  </si>
  <si>
    <t xml:space="preserve">Deferred tax assets</t>
  </si>
  <si>
    <t xml:space="preserve">Total non-current assets</t>
  </si>
  <si>
    <t xml:space="preserve">Current assets</t>
  </si>
  <si>
    <t xml:space="preserve">Inventory</t>
  </si>
  <si>
    <t xml:space="preserve">Trade receivables</t>
  </si>
  <si>
    <t xml:space="preserve">Other receivables &amp; prepayments</t>
  </si>
  <si>
    <t xml:space="preserve">Cash &amp; cash equivalents</t>
  </si>
  <si>
    <t xml:space="preserve">Total current assets</t>
  </si>
  <si>
    <t xml:space="preserve">TOTAL ASSETS</t>
  </si>
  <si>
    <t xml:space="preserve">Equity</t>
  </si>
  <si>
    <t xml:space="preserve">Share capital</t>
  </si>
  <si>
    <t xml:space="preserve">Retained earnings</t>
  </si>
  <si>
    <t xml:space="preserve">Total equity</t>
  </si>
  <si>
    <t xml:space="preserve">Non-current liabilities</t>
  </si>
  <si>
    <t xml:space="preserve">Bank loan — non-current</t>
  </si>
  <si>
    <t xml:space="preserve">Lease liabilities — non-current</t>
  </si>
  <si>
    <t xml:space="preserve">Provisions</t>
  </si>
  <si>
    <t xml:space="preserve">Total non-current liabilities</t>
  </si>
  <si>
    <t xml:space="preserve">Current liabilities</t>
  </si>
  <si>
    <t xml:space="preserve">Trade payables</t>
  </si>
  <si>
    <t xml:space="preserve">Accruals &amp; other payables</t>
  </si>
  <si>
    <t xml:space="preserve">Bank loan — current portion</t>
  </si>
  <si>
    <t xml:space="preserve">Lease liabilities — current</t>
  </si>
  <si>
    <t xml:space="preserve">Income tax payable</t>
  </si>
  <si>
    <t xml:space="preserve">Total current liabilities</t>
  </si>
  <si>
    <t xml:space="preserve">TOTAL EQUITY &amp; LIABILITIES</t>
  </si>
  <si>
    <t xml:space="preserve">Check — assets less equity &amp; liabilities</t>
  </si>
  <si>
    <t xml:space="preserve">Must be nil</t>
  </si>
  <si>
    <t xml:space="preserve">Prepared by Tarlan Charkasov, ACCA.  Green figures are linked from the Data sheet; all subtotals are live formulas.</t>
  </si>
  <si>
    <t xml:space="preserve">Kestrel Nutrition Kft. — Cash flow statement (indirect method)</t>
  </si>
  <si>
    <t xml:space="preserve">Year to date: 1 January to 30 June 2026  |  All figures EUR '000  |  Derived entirely from the P&amp;L and balance sheet movements</t>
  </si>
  <si>
    <t xml:space="preserve">YTD Jun-26</t>
  </si>
  <si>
    <t xml:space="preserve">Cash flows from operating activities</t>
  </si>
  <si>
    <t xml:space="preserve">Link: P&amp;L, year to date</t>
  </si>
  <si>
    <t xml:space="preserve">Non-cash add-back</t>
  </si>
  <si>
    <t xml:space="preserve">Reclassified below</t>
  </si>
  <si>
    <t xml:space="preserve">Operating profit before working capital movements</t>
  </si>
  <si>
    <t xml:space="preserve">Equals EBITDA</t>
  </si>
  <si>
    <t xml:space="preserve">(Increase) / decrease in inventory</t>
  </si>
  <si>
    <t xml:space="preserve">(Increase) / decrease in trade receivables</t>
  </si>
  <si>
    <t xml:space="preserve">(Increase) / decrease in other receivables</t>
  </si>
  <si>
    <t xml:space="preserve">Increase / (decrease) in trade payables</t>
  </si>
  <si>
    <t xml:space="preserve">Increase / (decrease) in accruals &amp; other payables</t>
  </si>
  <si>
    <t xml:space="preserve">Working capital movement</t>
  </si>
  <si>
    <t xml:space="preserve">Cash generated from operations</t>
  </si>
  <si>
    <t xml:space="preserve">Interest paid</t>
  </si>
  <si>
    <t xml:space="preserve">Income tax paid</t>
  </si>
  <si>
    <t xml:space="preserve">Net cash from operating activities</t>
  </si>
  <si>
    <t xml:space="preserve">Cash flows from investing activities</t>
  </si>
  <si>
    <t xml:space="preserve">Purchase of property, plant &amp; equipment</t>
  </si>
  <si>
    <t xml:space="preserve">Purchase of intangible assets</t>
  </si>
  <si>
    <t xml:space="preserve">Net cash used in investing activities</t>
  </si>
  <si>
    <t xml:space="preserve">Cash flows from financing activities</t>
  </si>
  <si>
    <t xml:space="preserve">Repayment of bank borrowings</t>
  </si>
  <si>
    <t xml:space="preserve">Principal element of lease payments</t>
  </si>
  <si>
    <t xml:space="preserve">Net cash used in financing activities</t>
  </si>
  <si>
    <t xml:space="preserve">Net movement in cash &amp; cash equivalents</t>
  </si>
  <si>
    <t xml:space="preserve">Cash &amp; cash equivalents at 1 January 2026</t>
  </si>
  <si>
    <t xml:space="preserve">Cash &amp; cash equivalents at 30 June 2026</t>
  </si>
  <si>
    <t xml:space="preserve">Check — cash per balance sheet</t>
  </si>
  <si>
    <t xml:space="preserve">Difference</t>
  </si>
  <si>
    <t xml:space="preserve">Prepared by Tarlan Charkasov, ACCA.  Only six figures on this statement are inputs (capex, borrowings, lease principal, interest and tax paid); everything else is derived.</t>
  </si>
  <si>
    <t xml:space="preserve">Kestrel Nutrition Kft. — Key performance indicators</t>
  </si>
  <si>
    <t xml:space="preserve">Year to date June 2026  |  Working capital days calculated on 181 days elapsed</t>
  </si>
  <si>
    <t xml:space="preserve">Metric</t>
  </si>
  <si>
    <t xml:space="preserve">Budget / target</t>
  </si>
  <si>
    <t xml:space="preserve">YTD Jun-25</t>
  </si>
  <si>
    <t xml:space="preserve">vs target</t>
  </si>
  <si>
    <t xml:space="preserve">Read</t>
  </si>
  <si>
    <t xml:space="preserve">Growth &amp; profitability</t>
  </si>
  <si>
    <t xml:space="preserve">Net revenue (EUR '000)</t>
  </si>
  <si>
    <t xml:space="preserve">Ahead of plan and up 16% on last year</t>
  </si>
  <si>
    <t xml:space="preserve">Net revenue growth (YoY)</t>
  </si>
  <si>
    <t xml:space="preserve">Volume-led, strongest in Poland and e-commerce</t>
  </si>
  <si>
    <t xml:space="preserve">Gross margin</t>
  </si>
  <si>
    <t xml:space="preserve">Below plan — trade spend and USD purchase cost</t>
  </si>
  <si>
    <t xml:space="preserve">EBITDA (EUR '000)</t>
  </si>
  <si>
    <t xml:space="preserve">Ahead of plan, but on A&amp;P phasing rather than trading</t>
  </si>
  <si>
    <t xml:space="preserve">EBITDA margin</t>
  </si>
  <si>
    <t xml:space="preserve">Flattered by timing; see commentary</t>
  </si>
  <si>
    <t xml:space="preserve">Operating costs as % of net revenue</t>
  </si>
  <si>
    <t xml:space="preserve">Operating leverage improving as revenue scales</t>
  </si>
  <si>
    <t xml:space="preserve">Working capital</t>
  </si>
  <si>
    <t xml:space="preserve">Days sales outstanding (DSO)</t>
  </si>
  <si>
    <t xml:space="preserve">4 days over target — Romania pharmacy channel</t>
  </si>
  <si>
    <t xml:space="preserve">Days inventory outstanding (DIO)</t>
  </si>
  <si>
    <t xml:space="preserve">8 days over target — safety stock built ahead of H2</t>
  </si>
  <si>
    <t xml:space="preserve">Days payables outstanding (DPO)</t>
  </si>
  <si>
    <t xml:space="preserve">Stretched — limited room to extend further</t>
  </si>
  <si>
    <t xml:space="preserve">Cash conversion cycle (days)</t>
  </si>
  <si>
    <t xml:space="preserve">Marginally better than last year, still above plan</t>
  </si>
  <si>
    <t xml:space="preserve">Leverage &amp; liquidity</t>
  </si>
  <si>
    <t xml:space="preserve">LTM EBITDA (EUR '000)</t>
  </si>
  <si>
    <t xml:space="preserve">FY2025 full year less H1 2025 plus H1 2026</t>
  </si>
  <si>
    <t xml:space="preserve">Net debt (EUR '000)</t>
  </si>
  <si>
    <t xml:space="preserve">Down EUR 131k year on year</t>
  </si>
  <si>
    <t xml:space="preserve">Net debt / LTM EBITDA</t>
  </si>
  <si>
    <t xml:space="preserve">Inside covenant, with limited headroom</t>
  </si>
  <si>
    <t xml:space="preserve">Current ratio</t>
  </si>
  <si>
    <t xml:space="preserve">Slightly below the 1.50 internal floor</t>
  </si>
  <si>
    <t xml:space="preserve">EBITDA interest cover</t>
  </si>
  <si>
    <t xml:space="preserve">Comfortable</t>
  </si>
  <si>
    <t xml:space="preserve">Reporting month no.</t>
  </si>
  <si>
    <t xml:space="preserve">&lt;- change this one cell to roll the whole pack to another month</t>
  </si>
  <si>
    <t xml:space="preserve">Reporting month</t>
  </si>
  <si>
    <t xml:space="preserve">Jun-26</t>
  </si>
  <si>
    <t xml:space="preserve">Days elapsed in period</t>
  </si>
  <si>
    <t xml:space="preserve">1 Jan 2026 to 30 Jun 2026 — used for working capital days</t>
  </si>
  <si>
    <t xml:space="preserve">Version</t>
  </si>
  <si>
    <t xml:space="preserve">Line item</t>
  </si>
  <si>
    <t xml:space="preserve">Month no.</t>
  </si>
  <si>
    <t xml:space="preserve">Month</t>
  </si>
  <si>
    <t xml:space="preserve">Value (EUR '000)</t>
  </si>
  <si>
    <t xml:space="preserve">FY25 Actual</t>
  </si>
  <si>
    <t xml:space="preserve">Jan</t>
  </si>
  <si>
    <t xml:space="preserve">Feb</t>
  </si>
  <si>
    <t xml:space="preserve">Mar</t>
  </si>
  <si>
    <t xml:space="preserve">Apr</t>
  </si>
  <si>
    <t xml:space="preserve">May</t>
  </si>
  <si>
    <t xml:space="preserve">Jun</t>
  </si>
  <si>
    <t xml:space="preserve">Jul</t>
  </si>
  <si>
    <t xml:space="preserve">Aug</t>
  </si>
  <si>
    <t xml:space="preserve">Sep</t>
  </si>
  <si>
    <t xml:space="preserve">Oct</t>
  </si>
  <si>
    <t xml:space="preserve">Nov</t>
  </si>
  <si>
    <t xml:space="preserve">Dec</t>
  </si>
  <si>
    <t xml:space="preserve">FY26 Budget</t>
  </si>
  <si>
    <t xml:space="preserve">FY26 Actual</t>
  </si>
  <si>
    <t xml:space="preserve">BALANCE SHEET BALANCES (EUR '000)</t>
  </si>
  <si>
    <t xml:space="preserve">Account</t>
  </si>
  <si>
    <t xml:space="preserve">CASH FLOW INPUTS — YTD Jun-26 (EUR '000)</t>
  </si>
  <si>
    <t xml:space="preserve">Not derivable from the P&amp;L or balance sheet alone</t>
  </si>
  <si>
    <t xml:space="preserve">FY2026 PLAN TARGETS</t>
  </si>
  <si>
    <t xml:space="preserve">Days sales outstanding (target)</t>
  </si>
  <si>
    <t xml:space="preserve">Days inventory outstanding (target)</t>
  </si>
  <si>
    <t xml:space="preserve">Days payables outstanding (target)</t>
  </si>
  <si>
    <t xml:space="preserve">Net debt / EBITDA (internal cap)</t>
  </si>
  <si>
    <t xml:space="preserve">Current ratio (minimum)</t>
  </si>
  <si>
    <t xml:space="preserve">CHART FEED — monthly, current year</t>
  </si>
  <si>
    <t xml:space="preserve">Net revenue — actual</t>
  </si>
  <si>
    <t xml:space="preserve">Net revenue — budget</t>
  </si>
  <si>
    <t xml:space="preserve">Gross margin % — actual</t>
  </si>
  <si>
    <t xml:space="preserve">Gross margin % — budget</t>
  </si>
</sst>
</file>

<file path=xl/styles.xml><?xml version="1.0" encoding="utf-8"?>
<styleSheet xmlns="http://schemas.openxmlformats.org/spreadsheetml/2006/main">
  <numFmts count="8">
    <numFmt numFmtId="164" formatCode="General"/>
    <numFmt numFmtId="165" formatCode="#,##0;\(#,##0\);\-"/>
    <numFmt numFmtId="166" formatCode="0.0%;\(0.0%\);\-"/>
    <numFmt numFmtId="167" formatCode="0.00\x"/>
    <numFmt numFmtId="168" formatCode="0.0%"/>
    <numFmt numFmtId="169" formatCode="\+0.0&quot;pp&quot;;\-0.0&quot;pp&quot;;\-"/>
    <numFmt numFmtId="170" formatCode="#,##0.0;\(#,##0.0\);\-"/>
    <numFmt numFmtId="171" formatCode="0.00"/>
  </numFmts>
  <fonts count="29">
    <font>
      <sz val="11"/>
      <color theme="1"/>
      <name val="Calibri"/>
      <family val="2"/>
      <charset val="1"/>
    </font>
    <font>
      <sz val="10"/>
      <name val="Arial"/>
      <family val="0"/>
    </font>
    <font>
      <sz val="10"/>
      <name val="Arial"/>
      <family val="0"/>
    </font>
    <font>
      <sz val="10"/>
      <name val="Arial"/>
      <family val="0"/>
    </font>
    <font>
      <b val="true"/>
      <sz val="20"/>
      <color rgb="FFFFFFFF"/>
      <name val="Arial"/>
      <family val="0"/>
      <charset val="1"/>
    </font>
    <font>
      <b val="true"/>
      <sz val="14"/>
      <color rgb="FF12293F"/>
      <name val="Arial"/>
      <family val="0"/>
      <charset val="1"/>
    </font>
    <font>
      <sz val="11"/>
      <color rgb="FF5A6672"/>
      <name val="Arial"/>
      <family val="0"/>
      <charset val="1"/>
    </font>
    <font>
      <b val="true"/>
      <sz val="10"/>
      <color rgb="FF12293F"/>
      <name val="Arial"/>
      <family val="0"/>
      <charset val="1"/>
    </font>
    <font>
      <sz val="10"/>
      <name val="Arial"/>
      <family val="0"/>
      <charset val="1"/>
    </font>
    <font>
      <b val="true"/>
      <sz val="11"/>
      <color rgb="FF12293F"/>
      <name val="Arial"/>
      <family val="0"/>
      <charset val="1"/>
    </font>
    <font>
      <b val="true"/>
      <sz val="10"/>
      <name val="Arial"/>
      <family val="0"/>
      <charset val="1"/>
    </font>
    <font>
      <sz val="10"/>
      <color rgb="FF5A6672"/>
      <name val="Arial"/>
      <family val="0"/>
      <charset val="1"/>
    </font>
    <font>
      <i val="true"/>
      <sz val="9"/>
      <color rgb="FF5A6672"/>
      <name val="Arial"/>
      <family val="0"/>
      <charset val="1"/>
    </font>
    <font>
      <b val="true"/>
      <sz val="15"/>
      <color rgb="FF12293F"/>
      <name val="Arial"/>
      <family val="0"/>
      <charset val="1"/>
    </font>
    <font>
      <b val="true"/>
      <sz val="8"/>
      <color rgb="FFB8873B"/>
      <name val="Arial"/>
      <family val="0"/>
      <charset val="1"/>
    </font>
    <font>
      <b val="true"/>
      <sz val="18"/>
      <color rgb="FF12293F"/>
      <name val="Arial"/>
      <family val="0"/>
      <charset val="1"/>
    </font>
    <font>
      <sz val="8"/>
      <color rgb="FF5A6672"/>
      <name val="Arial"/>
      <family val="0"/>
      <charset val="1"/>
    </font>
    <font>
      <b val="true"/>
      <sz val="9"/>
      <color rgb="FFB8873B"/>
      <name val="Arial"/>
      <family val="0"/>
      <charset val="1"/>
    </font>
    <font>
      <sz val="9"/>
      <name val="Arial"/>
      <family val="0"/>
      <charset val="1"/>
    </font>
    <font>
      <b val="true"/>
      <sz val="9"/>
      <color rgb="FFFFFFFF"/>
      <name val="Arial"/>
      <family val="0"/>
      <charset val="1"/>
    </font>
    <font>
      <b val="true"/>
      <sz val="9"/>
      <name val="Arial"/>
      <family val="0"/>
      <charset val="1"/>
    </font>
    <font>
      <sz val="9"/>
      <color rgb="FF5A6672"/>
      <name val="Arial"/>
      <family val="0"/>
      <charset val="1"/>
    </font>
    <font>
      <b val="true"/>
      <sz val="18"/>
      <color rgb="FF000000"/>
      <name val="Calibri"/>
      <family val="2"/>
    </font>
    <font>
      <sz val="10"/>
      <color rgb="FF000000"/>
      <name val="Calibri"/>
      <family val="2"/>
    </font>
    <font>
      <b val="true"/>
      <sz val="10"/>
      <color rgb="FFB8873B"/>
      <name val="Arial"/>
      <family val="0"/>
      <charset val="1"/>
    </font>
    <font>
      <sz val="10"/>
      <color rgb="FF008000"/>
      <name val="Arial"/>
      <family val="0"/>
      <charset val="1"/>
    </font>
    <font>
      <b val="true"/>
      <sz val="10"/>
      <color rgb="FFFFFFFF"/>
      <name val="Arial"/>
      <family val="0"/>
      <charset val="1"/>
    </font>
    <font>
      <b val="true"/>
      <sz val="10"/>
      <color rgb="FF1E7A45"/>
      <name val="Arial"/>
      <family val="0"/>
      <charset val="1"/>
    </font>
    <font>
      <sz val="10"/>
      <color rgb="FF0000FF"/>
      <name val="Arial"/>
      <family val="0"/>
      <charset val="1"/>
    </font>
  </fonts>
  <fills count="7">
    <fill>
      <patternFill patternType="none"/>
    </fill>
    <fill>
      <patternFill patternType="gray125"/>
    </fill>
    <fill>
      <patternFill patternType="solid">
        <fgColor rgb="FF12293F"/>
        <bgColor rgb="FF333333"/>
      </patternFill>
    </fill>
    <fill>
      <patternFill patternType="solid">
        <fgColor rgb="FFF6EEDD"/>
        <bgColor rgb="FFF2F4F6"/>
      </patternFill>
    </fill>
    <fill>
      <patternFill patternType="solid">
        <fgColor rgb="FFF2F4F6"/>
        <bgColor rgb="FFF6EEDD"/>
      </patternFill>
    </fill>
    <fill>
      <patternFill patternType="solid">
        <fgColor rgb="FF1F4468"/>
        <bgColor rgb="FF333333"/>
      </patternFill>
    </fill>
    <fill>
      <patternFill patternType="solid">
        <fgColor rgb="FFFFFFCC"/>
        <bgColor rgb="FFF6EEDD"/>
      </patternFill>
    </fill>
  </fills>
  <borders count="7">
    <border diagonalUp="false" diagonalDown="false">
      <left/>
      <right/>
      <top/>
      <bottom/>
      <diagonal/>
    </border>
    <border diagonalUp="false" diagonalDown="false">
      <left/>
      <right/>
      <top/>
      <bottom style="medium">
        <color rgb="FFB8873B"/>
      </bottom>
      <diagonal/>
    </border>
    <border diagonalUp="false" diagonalDown="false">
      <left style="thin">
        <color rgb="FFD8DDE3"/>
      </left>
      <right style="thin">
        <color rgb="FFD8DDE3"/>
      </right>
      <top style="medium">
        <color rgb="FFB8873B"/>
      </top>
      <bottom/>
      <diagonal/>
    </border>
    <border diagonalUp="false" diagonalDown="false">
      <left style="thin">
        <color rgb="FFD8DDE3"/>
      </left>
      <right style="thin">
        <color rgb="FFD8DDE3"/>
      </right>
      <top/>
      <bottom/>
      <diagonal/>
    </border>
    <border diagonalUp="false" diagonalDown="false">
      <left style="thin">
        <color rgb="FFD8DDE3"/>
      </left>
      <right style="thin">
        <color rgb="FFD8DDE3"/>
      </right>
      <top/>
      <bottom style="thin">
        <color rgb="FFD8DDE3"/>
      </bottom>
      <diagonal/>
    </border>
    <border diagonalUp="false" diagonalDown="false">
      <left/>
      <right/>
      <top/>
      <bottom style="thin">
        <color rgb="FFD8DDE3"/>
      </bottom>
      <diagonal/>
    </border>
    <border diagonalUp="false" diagonalDown="false">
      <left/>
      <right/>
      <top style="thin">
        <color rgb="FF9AA5B1"/>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3" borderId="0" xfId="0" applyFont="true" applyBorder="true" applyAlignment="true" applyProtection="false">
      <alignment horizontal="left" vertical="top"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4" fillId="4" borderId="2" xfId="0" applyFont="true" applyBorder="true" applyAlignment="true" applyProtection="false">
      <alignment horizontal="left" vertical="center" textRotation="0" wrapText="false" indent="1" shrinkToFit="false"/>
      <protection locked="true" hidden="false"/>
    </xf>
    <xf numFmtId="165" fontId="15" fillId="4" borderId="3" xfId="0" applyFont="true" applyBorder="true" applyAlignment="true" applyProtection="false">
      <alignment horizontal="left" vertical="center" textRotation="0" wrapText="false" indent="1" shrinkToFit="false"/>
      <protection locked="true" hidden="false"/>
    </xf>
    <xf numFmtId="166" fontId="15" fillId="4" borderId="3" xfId="0" applyFont="true" applyBorder="true" applyAlignment="true" applyProtection="false">
      <alignment horizontal="left" vertical="center" textRotation="0" wrapText="false" indent="1" shrinkToFit="false"/>
      <protection locked="true" hidden="false"/>
    </xf>
    <xf numFmtId="167" fontId="15" fillId="4" borderId="3" xfId="0" applyFont="true" applyBorder="true" applyAlignment="true" applyProtection="false">
      <alignment horizontal="left" vertical="center" textRotation="0" wrapText="false" indent="1" shrinkToFit="false"/>
      <protection locked="true" hidden="false"/>
    </xf>
    <xf numFmtId="164" fontId="16" fillId="4" borderId="4" xfId="0" applyFont="true" applyBorder="true" applyAlignment="true" applyProtection="false">
      <alignment horizontal="left" vertical="top" textRotation="0" wrapText="false" indent="1"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true" applyAlignment="true" applyProtection="false">
      <alignment horizontal="left" vertical="top" textRotation="0" wrapText="true" indent="0" shrinkToFit="false"/>
      <protection locked="true" hidden="false"/>
    </xf>
    <xf numFmtId="164" fontId="19" fillId="2" borderId="0" xfId="0" applyFont="true" applyBorder="false" applyAlignment="true" applyProtection="false">
      <alignment horizontal="center" vertical="center" textRotation="0" wrapText="true" indent="0" shrinkToFit="false"/>
      <protection locked="true" hidden="false"/>
    </xf>
    <xf numFmtId="164" fontId="19" fillId="2" borderId="0" xfId="0" applyFont="true" applyBorder="true" applyAlignment="true" applyProtection="false">
      <alignment horizontal="center" vertical="center" textRotation="0" wrapText="true" indent="0" shrinkToFit="false"/>
      <protection locked="true" hidden="false"/>
    </xf>
    <xf numFmtId="164" fontId="20" fillId="0" borderId="5" xfId="0" applyFont="true" applyBorder="true" applyAlignment="false" applyProtection="false">
      <alignment horizontal="general" vertical="bottom" textRotation="0" wrapText="false" indent="0" shrinkToFit="false"/>
      <protection locked="true" hidden="false"/>
    </xf>
    <xf numFmtId="164" fontId="18" fillId="0" borderId="5" xfId="0" applyFont="true" applyBorder="true" applyAlignment="true" applyProtection="false">
      <alignment horizontal="left" vertical="top" textRotation="0" wrapText="true" indent="0" shrinkToFit="false"/>
      <protection locked="true" hidden="false"/>
    </xf>
    <xf numFmtId="164" fontId="18" fillId="0" borderId="5" xfId="0" applyFont="true" applyBorder="true" applyAlignment="false" applyProtection="false">
      <alignment horizontal="general" vertical="bottom"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19" fillId="5" borderId="0"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left" vertical="center" textRotation="0" wrapText="false" indent="1"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6" fontId="8" fillId="0" borderId="0" xfId="0" applyFont="true" applyBorder="false" applyAlignment="false" applyProtection="false">
      <alignment horizontal="general" vertical="bottom" textRotation="0" wrapText="false" indent="0" shrinkToFit="false"/>
      <protection locked="true" hidden="false"/>
    </xf>
    <xf numFmtId="164" fontId="7" fillId="3" borderId="6" xfId="0" applyFont="true" applyBorder="true" applyAlignment="true" applyProtection="false">
      <alignment horizontal="left" vertical="center" textRotation="0" wrapText="false" indent="1" shrinkToFit="false"/>
      <protection locked="true" hidden="false"/>
    </xf>
    <xf numFmtId="165" fontId="7" fillId="3" borderId="6" xfId="0" applyFont="true" applyBorder="true" applyAlignment="false" applyProtection="false">
      <alignment horizontal="general" vertical="bottom" textRotation="0" wrapText="false" indent="0" shrinkToFit="false"/>
      <protection locked="true" hidden="false"/>
    </xf>
    <xf numFmtId="166" fontId="7" fillId="3" borderId="6" xfId="0" applyFont="true" applyBorder="true" applyAlignment="false" applyProtection="false">
      <alignment horizontal="general" vertical="bottom" textRotation="0" wrapText="false" indent="0" shrinkToFit="false"/>
      <protection locked="true" hidden="false"/>
    </xf>
    <xf numFmtId="164" fontId="7" fillId="0" borderId="6" xfId="0" applyFont="true" applyBorder="true" applyAlignment="true" applyProtection="false">
      <alignment horizontal="left" vertical="center" textRotation="0" wrapText="false" indent="1" shrinkToFit="false"/>
      <protection locked="true" hidden="false"/>
    </xf>
    <xf numFmtId="165" fontId="7" fillId="0" borderId="6" xfId="0" applyFont="true" applyBorder="true" applyAlignment="false" applyProtection="false">
      <alignment horizontal="general" vertical="bottom" textRotation="0" wrapText="false" indent="0" shrinkToFit="false"/>
      <protection locked="true" hidden="false"/>
    </xf>
    <xf numFmtId="166" fontId="7" fillId="0" borderId="6"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left" vertical="center" textRotation="0" wrapText="false" indent="1" shrinkToFit="false"/>
      <protection locked="true" hidden="false"/>
    </xf>
    <xf numFmtId="166" fontId="12" fillId="0" borderId="0" xfId="0" applyFont="true" applyBorder="false" applyAlignment="false" applyProtection="false">
      <alignment horizontal="general" vertical="bottom" textRotation="0" wrapText="false" indent="0" shrinkToFit="false"/>
      <protection locked="true" hidden="false"/>
    </xf>
    <xf numFmtId="169" fontId="12" fillId="0" borderId="0" xfId="0" applyFont="true" applyBorder="false" applyAlignment="false" applyProtection="false">
      <alignment horizontal="general" vertical="bottom" textRotation="0" wrapText="false" indent="0" shrinkToFit="false"/>
      <protection locked="true" hidden="false"/>
    </xf>
    <xf numFmtId="164" fontId="24" fillId="0" borderId="6" xfId="0" applyFont="tru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5" fontId="25" fillId="0" borderId="0" xfId="0" applyFont="true" applyBorder="false" applyAlignment="false" applyProtection="false">
      <alignment horizontal="general" vertical="bottom" textRotation="0" wrapText="false" indent="0" shrinkToFit="false"/>
      <protection locked="true" hidden="false"/>
    </xf>
    <xf numFmtId="164" fontId="7" fillId="0" borderId="6" xfId="0" applyFont="true" applyBorder="true" applyAlignment="false" applyProtection="false">
      <alignment horizontal="general" vertical="bottom" textRotation="0" wrapText="false" indent="0" shrinkToFit="false"/>
      <protection locked="true" hidden="false"/>
    </xf>
    <xf numFmtId="164" fontId="26" fillId="2" borderId="0" xfId="0" applyFont="true" applyBorder="false" applyAlignment="false" applyProtection="false">
      <alignment horizontal="general" vertical="bottom" textRotation="0" wrapText="false" indent="0" shrinkToFit="false"/>
      <protection locked="true" hidden="false"/>
    </xf>
    <xf numFmtId="165" fontId="26" fillId="2" borderId="0" xfId="0" applyFont="true" applyBorder="false" applyAlignment="false" applyProtection="false">
      <alignment horizontal="general" vertical="bottom" textRotation="0" wrapText="false" indent="0" shrinkToFit="false"/>
      <protection locked="true" hidden="false"/>
    </xf>
    <xf numFmtId="165" fontId="27" fillId="0" borderId="0" xfId="0" applyFont="true" applyBorder="false" applyAlignment="false" applyProtection="false">
      <alignment horizontal="general" vertical="bottom" textRotation="0" wrapText="false" indent="0" shrinkToFit="false"/>
      <protection locked="true" hidden="false"/>
    </xf>
    <xf numFmtId="164" fontId="7" fillId="3" borderId="6" xfId="0" applyFont="true" applyBorder="true" applyAlignment="false" applyProtection="false">
      <alignment horizontal="general" vertical="bottom" textRotation="0" wrapText="false" indent="0" shrinkToFit="false"/>
      <protection locked="true" hidden="false"/>
    </xf>
    <xf numFmtId="165" fontId="27" fillId="0" borderId="6" xfId="0" applyFont="true" applyBorder="true" applyAlignment="false" applyProtection="false">
      <alignment horizontal="general" vertical="bottom" textRotation="0" wrapText="false" indent="0" shrinkToFit="false"/>
      <protection locked="true" hidden="false"/>
    </xf>
    <xf numFmtId="169" fontId="8" fillId="0" borderId="0" xfId="0" applyFont="true" applyBorder="false" applyAlignment="false" applyProtection="false">
      <alignment horizontal="general" vertical="bottom" textRotation="0" wrapText="false" indent="0" shrinkToFit="false"/>
      <protection locked="true" hidden="false"/>
    </xf>
    <xf numFmtId="170" fontId="8" fillId="0" borderId="0" xfId="0" applyFont="true" applyBorder="false" applyAlignment="false" applyProtection="false">
      <alignment horizontal="general" vertical="bottom" textRotation="0" wrapText="false" indent="0" shrinkToFit="false"/>
      <protection locked="true" hidden="false"/>
    </xf>
    <xf numFmtId="167" fontId="8" fillId="0" borderId="0" xfId="0" applyFont="true" applyBorder="false" applyAlignment="false" applyProtection="false">
      <alignment horizontal="general" vertical="bottom" textRotation="0" wrapText="false" indent="0" shrinkToFit="false"/>
      <protection locked="true" hidden="false"/>
    </xf>
    <xf numFmtId="164" fontId="28" fillId="6"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28"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71" fontId="28"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B8873B"/>
      <rgbColor rgb="FF800080"/>
      <rgbColor rgb="FF1E7A45"/>
      <rgbColor rgb="FFD9D9D9"/>
      <rgbColor rgb="FF878787"/>
      <rgbColor rgb="FF9999FF"/>
      <rgbColor rgb="FF993366"/>
      <rgbColor rgb="FFFFFFCC"/>
      <rgbColor rgb="FFF2F4F6"/>
      <rgbColor rgb="FF660066"/>
      <rgbColor rgb="FFFF8080"/>
      <rgbColor rgb="FF0066CC"/>
      <rgbColor rgb="FFC7CFD8"/>
      <rgbColor rgb="FF000080"/>
      <rgbColor rgb="FFFF00FF"/>
      <rgbColor rgb="FFFFFF00"/>
      <rgbColor rgb="FF00FFFF"/>
      <rgbColor rgb="FF800080"/>
      <rgbColor rgb="FF800000"/>
      <rgbColor rgb="FF008080"/>
      <rgbColor rgb="FF0000FF"/>
      <rgbColor rgb="FF00CCFF"/>
      <rgbColor rgb="FFCCFFFF"/>
      <rgbColor rgb="FFD8DDE3"/>
      <rgbColor rgb="FFF6EEDD"/>
      <rgbColor rgb="FF99CCFF"/>
      <rgbColor rgb="FFFF99CC"/>
      <rgbColor rgb="FFCC99FF"/>
      <rgbColor rgb="FFFFCC99"/>
      <rgbColor rgb="FF3366FF"/>
      <rgbColor rgb="FF33CCCC"/>
      <rgbColor rgb="FF99CC00"/>
      <rgbColor rgb="FFFFCC00"/>
      <rgbColor rgb="FFFF9900"/>
      <rgbColor rgb="FFFF6600"/>
      <rgbColor rgb="FF5A6672"/>
      <rgbColor rgb="FF9AA5B1"/>
      <rgbColor rgb="FF12293F"/>
      <rgbColor rgb="FF339966"/>
      <rgbColor rgb="FF003300"/>
      <rgbColor rgb="FF333300"/>
      <rgbColor rgb="FF993300"/>
      <rgbColor rgb="FF993366"/>
      <rgbColor rgb="FF1F4468"/>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Net revenue by month — actual vs budget (EUR '000)</a:t>
            </a:r>
          </a:p>
        </c:rich>
      </c:tx>
      <c:overlay val="0"/>
      <c:spPr>
        <a:noFill/>
        <a:ln w="0">
          <a:noFill/>
        </a:ln>
      </c:spPr>
    </c:title>
    <c:autoTitleDeleted val="0"/>
    <c:plotArea>
      <c:barChart>
        <c:barDir val="col"/>
        <c:grouping val="clustered"/>
        <c:varyColors val="0"/>
        <c:ser>
          <c:idx val="0"/>
          <c:order val="0"/>
          <c:tx>
            <c:strRef>
              <c:f>Data!B348</c:f>
              <c:strCache>
                <c:ptCount val="1"/>
                <c:pt idx="0">
                  <c:v>Net revenue — actual</c:v>
                </c:pt>
              </c:strCache>
            </c:strRef>
          </c:tx>
          <c:spPr>
            <a:solidFill>
              <a:srgbClr val="12293f"/>
            </a:solidFill>
            <a:ln w="0">
              <a:solidFill>
                <a:srgbClr val="12293f"/>
              </a:solid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Data!$A$349:$A$354</c:f>
              <c:strCache>
                <c:ptCount val="6"/>
                <c:pt idx="0">
                  <c:v>Jan</c:v>
                </c:pt>
                <c:pt idx="1">
                  <c:v>Feb</c:v>
                </c:pt>
                <c:pt idx="2">
                  <c:v>Mar</c:v>
                </c:pt>
                <c:pt idx="3">
                  <c:v>Apr</c:v>
                </c:pt>
                <c:pt idx="4">
                  <c:v>May</c:v>
                </c:pt>
                <c:pt idx="5">
                  <c:v>Jun</c:v>
                </c:pt>
              </c:strCache>
            </c:strRef>
          </c:cat>
          <c:val>
            <c:numRef>
              <c:f>Data!$B$349:$B$354</c:f>
              <c:numCache>
                <c:formatCode>#,##0;\(#,##0\);\-</c:formatCode>
                <c:ptCount val="6"/>
                <c:pt idx="0">
                  <c:v>1176</c:v>
                </c:pt>
                <c:pt idx="1">
                  <c:v>1063</c:v>
                </c:pt>
                <c:pt idx="2">
                  <c:v>1030</c:v>
                </c:pt>
                <c:pt idx="3">
                  <c:v>917</c:v>
                </c:pt>
                <c:pt idx="4">
                  <c:v>873</c:v>
                </c:pt>
                <c:pt idx="5">
                  <c:v>783</c:v>
                </c:pt>
              </c:numCache>
            </c:numRef>
          </c:val>
        </c:ser>
        <c:ser>
          <c:idx val="1"/>
          <c:order val="1"/>
          <c:tx>
            <c:strRef>
              <c:f>Data!C348</c:f>
              <c:strCache>
                <c:ptCount val="1"/>
                <c:pt idx="0">
                  <c:v>Net revenue — budget</c:v>
                </c:pt>
              </c:strCache>
            </c:strRef>
          </c:tx>
          <c:spPr>
            <a:solidFill>
              <a:srgbClr val="c7cfd8"/>
            </a:solidFill>
            <a:ln w="0">
              <a:solidFill>
                <a:srgbClr val="c7cfd8"/>
              </a:solid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Data!$A$349:$A$354</c:f>
              <c:strCache>
                <c:ptCount val="6"/>
                <c:pt idx="0">
                  <c:v>Jan</c:v>
                </c:pt>
                <c:pt idx="1">
                  <c:v>Feb</c:v>
                </c:pt>
                <c:pt idx="2">
                  <c:v>Mar</c:v>
                </c:pt>
                <c:pt idx="3">
                  <c:v>Apr</c:v>
                </c:pt>
                <c:pt idx="4">
                  <c:v>May</c:v>
                </c:pt>
                <c:pt idx="5">
                  <c:v>Jun</c:v>
                </c:pt>
              </c:strCache>
            </c:strRef>
          </c:cat>
          <c:val>
            <c:numRef>
              <c:f>Data!$C$349:$C$354</c:f>
              <c:numCache>
                <c:formatCode>#,##0;\(#,##0\);\-</c:formatCode>
                <c:ptCount val="6"/>
                <c:pt idx="0">
                  <c:v>1140</c:v>
                </c:pt>
                <c:pt idx="1">
                  <c:v>1032</c:v>
                </c:pt>
                <c:pt idx="2">
                  <c:v>1000</c:v>
                </c:pt>
                <c:pt idx="3">
                  <c:v>891</c:v>
                </c:pt>
                <c:pt idx="4">
                  <c:v>847</c:v>
                </c:pt>
                <c:pt idx="5">
                  <c:v>761</c:v>
                </c:pt>
              </c:numCache>
            </c:numRef>
          </c:val>
        </c:ser>
        <c:gapWidth val="60"/>
        <c:overlap val="0"/>
        <c:axId val="31649272"/>
        <c:axId val="83852611"/>
      </c:barChart>
      <c:catAx>
        <c:axId val="3164927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3852611"/>
        <c:crosses val="autoZero"/>
        <c:auto val="1"/>
        <c:lblAlgn val="ctr"/>
        <c:lblOffset val="100"/>
        <c:noMultiLvlLbl val="0"/>
      </c:catAx>
      <c:valAx>
        <c:axId val="83852611"/>
        <c:scaling>
          <c:orientation val="minMax"/>
        </c:scaling>
        <c:delete val="0"/>
        <c:axPos val="l"/>
        <c:majorGridlines>
          <c:spPr>
            <a:ln w="9360">
              <a:solidFill>
                <a:srgbClr val="878787"/>
              </a:solidFill>
              <a:round/>
            </a:ln>
          </c:spPr>
        </c:majorGridlines>
        <c:numFmt formatCode="#,##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1649272"/>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Gross margin % — actual vs budget</a:t>
            </a:r>
          </a:p>
        </c:rich>
      </c:tx>
      <c:overlay val="0"/>
      <c:spPr>
        <a:noFill/>
        <a:ln w="0">
          <a:noFill/>
        </a:ln>
      </c:spPr>
    </c:title>
    <c:autoTitleDeleted val="0"/>
    <c:plotArea>
      <c:lineChart>
        <c:grouping val="standard"/>
        <c:varyColors val="0"/>
        <c:ser>
          <c:idx val="0"/>
          <c:order val="0"/>
          <c:tx>
            <c:strRef>
              <c:f>Data!D348</c:f>
              <c:strCache>
                <c:ptCount val="1"/>
                <c:pt idx="0">
                  <c:v>Gross margin % — actual</c:v>
                </c:pt>
              </c:strCache>
            </c:strRef>
          </c:tx>
          <c:spPr>
            <a:solidFill>
              <a:srgbClr val="b8873b"/>
            </a:solidFill>
            <a:ln w="28080">
              <a:solidFill>
                <a:srgbClr val="b8873b"/>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Data!$A$349:$A$354</c:f>
              <c:strCache>
                <c:ptCount val="6"/>
                <c:pt idx="0">
                  <c:v>Jan</c:v>
                </c:pt>
                <c:pt idx="1">
                  <c:v>Feb</c:v>
                </c:pt>
                <c:pt idx="2">
                  <c:v>Mar</c:v>
                </c:pt>
                <c:pt idx="3">
                  <c:v>Apr</c:v>
                </c:pt>
                <c:pt idx="4">
                  <c:v>May</c:v>
                </c:pt>
                <c:pt idx="5">
                  <c:v>Jun</c:v>
                </c:pt>
              </c:strCache>
            </c:strRef>
          </c:cat>
          <c:val>
            <c:numRef>
              <c:f>Data!$D$349:$D$354</c:f>
              <c:numCache>
                <c:formatCode>0.0%;\(0.0%\);\-</c:formatCode>
                <c:ptCount val="6"/>
                <c:pt idx="0">
                  <c:v>0.454081632653061</c:v>
                </c:pt>
                <c:pt idx="1">
                  <c:v>0.45343367826905</c:v>
                </c:pt>
                <c:pt idx="2">
                  <c:v>0.454368932038835</c:v>
                </c:pt>
                <c:pt idx="3">
                  <c:v>0.453653217011996</c:v>
                </c:pt>
                <c:pt idx="4">
                  <c:v>0.45360824742268</c:v>
                </c:pt>
                <c:pt idx="5">
                  <c:v>0.454661558109834</c:v>
                </c:pt>
              </c:numCache>
            </c:numRef>
          </c:val>
          <c:smooth val="1"/>
        </c:ser>
        <c:ser>
          <c:idx val="1"/>
          <c:order val="1"/>
          <c:tx>
            <c:strRef>
              <c:f>Data!E348</c:f>
              <c:strCache>
                <c:ptCount val="1"/>
                <c:pt idx="0">
                  <c:v>Gross margin % — budget</c:v>
                </c:pt>
              </c:strCache>
            </c:strRef>
          </c:tx>
          <c:spPr>
            <a:solidFill>
              <a:srgbClr val="9aa5b1"/>
            </a:solidFill>
            <a:ln w="28440">
              <a:solidFill>
                <a:srgbClr val="9aa5b1"/>
              </a:solidFill>
              <a:prstDash val="dash"/>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Data!$A$349:$A$354</c:f>
              <c:strCache>
                <c:ptCount val="6"/>
                <c:pt idx="0">
                  <c:v>Jan</c:v>
                </c:pt>
                <c:pt idx="1">
                  <c:v>Feb</c:v>
                </c:pt>
                <c:pt idx="2">
                  <c:v>Mar</c:v>
                </c:pt>
                <c:pt idx="3">
                  <c:v>Apr</c:v>
                </c:pt>
                <c:pt idx="4">
                  <c:v>May</c:v>
                </c:pt>
                <c:pt idx="5">
                  <c:v>Jun</c:v>
                </c:pt>
              </c:strCache>
            </c:strRef>
          </c:cat>
          <c:val>
            <c:numRef>
              <c:f>Data!$E$349:$E$354</c:f>
              <c:numCache>
                <c:formatCode>0.0%;\(0.0%\);\-</c:formatCode>
                <c:ptCount val="6"/>
                <c:pt idx="0">
                  <c:v>0.467543859649123</c:v>
                </c:pt>
                <c:pt idx="1">
                  <c:v>0.468023255813954</c:v>
                </c:pt>
                <c:pt idx="2">
                  <c:v>0.468</c:v>
                </c:pt>
                <c:pt idx="3">
                  <c:v>0.468013468013468</c:v>
                </c:pt>
                <c:pt idx="4">
                  <c:v>0.467532467532468</c:v>
                </c:pt>
                <c:pt idx="5">
                  <c:v>0.469119579500657</c:v>
                </c:pt>
              </c:numCache>
            </c:numRef>
          </c:val>
          <c:smooth val="1"/>
        </c:ser>
        <c:hiLowLines>
          <c:spPr>
            <a:ln w="0">
              <a:noFill/>
            </a:ln>
          </c:spPr>
        </c:hiLowLines>
        <c:marker val="0"/>
        <c:axId val="91694189"/>
        <c:axId val="19734199"/>
      </c:lineChart>
      <c:catAx>
        <c:axId val="91694189"/>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9734199"/>
        <c:crosses val="autoZero"/>
        <c:auto val="1"/>
        <c:lblAlgn val="ctr"/>
        <c:lblOffset val="100"/>
        <c:noMultiLvlLbl val="0"/>
      </c:catAx>
      <c:valAx>
        <c:axId val="19734199"/>
        <c:scaling>
          <c:orientation val="minMax"/>
        </c:scaling>
        <c:delete val="0"/>
        <c:axPos val="l"/>
        <c:majorGridlines>
          <c:spPr>
            <a:ln w="9360">
              <a:solidFill>
                <a:srgbClr val="878787"/>
              </a:solidFill>
              <a:round/>
            </a:ln>
          </c:spPr>
        </c:majorGridlines>
        <c:numFmt formatCode="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1694189"/>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9</xdr:row>
      <xdr:rowOff>0</xdr:rowOff>
    </xdr:from>
    <xdr:to>
      <xdr:col>5</xdr:col>
      <xdr:colOff>339840</xdr:colOff>
      <xdr:row>23</xdr:row>
      <xdr:rowOff>68400</xdr:rowOff>
    </xdr:to>
    <xdr:graphicFrame>
      <xdr:nvGraphicFramePr>
        <xdr:cNvPr id="0" name="Chart 1"/>
        <xdr:cNvGraphicFramePr/>
      </xdr:nvGraphicFramePr>
      <xdr:xfrm>
        <a:off x="0" y="1790640"/>
        <a:ext cx="4499640" cy="2735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0</xdr:colOff>
      <xdr:row>9</xdr:row>
      <xdr:rowOff>0</xdr:rowOff>
    </xdr:from>
    <xdr:to>
      <xdr:col>12</xdr:col>
      <xdr:colOff>444960</xdr:colOff>
      <xdr:row>23</xdr:row>
      <xdr:rowOff>68400</xdr:rowOff>
    </xdr:to>
    <xdr:graphicFrame>
      <xdr:nvGraphicFramePr>
        <xdr:cNvPr id="1" name="Chart 2"/>
        <xdr:cNvGraphicFramePr/>
      </xdr:nvGraphicFramePr>
      <xdr:xfrm>
        <a:off x="5781600" y="1790640"/>
        <a:ext cx="4499640" cy="2735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8873B"/>
    <pageSetUpPr fitToPage="true"/>
  </sheetPr>
  <dimension ref="A1:E2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3" min="3" style="0" width="62"/>
    <col collapsed="false" customWidth="true" hidden="false" outlineLevel="0" max="4" min="4" style="0" width="18"/>
    <col collapsed="false" customWidth="true" hidden="false" outlineLevel="0" max="5" min="5" style="0" width="3"/>
  </cols>
  <sheetData>
    <row r="1" customFormat="false" ht="7.5" hidden="false" customHeight="true" outlineLevel="0" collapsed="false">
      <c r="A1" s="1"/>
      <c r="B1" s="1"/>
      <c r="C1" s="1"/>
      <c r="D1" s="1"/>
      <c r="E1" s="1"/>
    </row>
    <row r="2" customFormat="false" ht="33.75" hidden="false" customHeight="true" outlineLevel="0" collapsed="false">
      <c r="A2" s="1"/>
      <c r="B2" s="2" t="s">
        <v>0</v>
      </c>
      <c r="C2" s="2"/>
      <c r="D2" s="2"/>
      <c r="E2" s="1"/>
    </row>
    <row r="3" customFormat="false" ht="7.5" hidden="false" customHeight="true" outlineLevel="0" collapsed="false">
      <c r="A3" s="1"/>
      <c r="B3" s="1"/>
      <c r="C3" s="1"/>
      <c r="D3" s="1"/>
      <c r="E3" s="1"/>
    </row>
    <row r="5" customFormat="false" ht="17.35" hidden="false" customHeight="false" outlineLevel="0" collapsed="false">
      <c r="B5" s="3" t="s">
        <v>1</v>
      </c>
    </row>
    <row r="6" customFormat="false" ht="15" hidden="false" customHeight="false" outlineLevel="0" collapsed="false">
      <c r="B6" s="4" t="s">
        <v>2</v>
      </c>
    </row>
    <row r="7" customFormat="false" ht="15" hidden="false" customHeight="false" outlineLevel="0" collapsed="false">
      <c r="B7" s="5"/>
      <c r="C7" s="5"/>
      <c r="D7" s="5"/>
    </row>
    <row r="9" customFormat="false" ht="15" hidden="false" customHeight="false" outlineLevel="0" collapsed="false">
      <c r="B9" s="6" t="s">
        <v>3</v>
      </c>
      <c r="C9" s="7" t="s">
        <v>0</v>
      </c>
    </row>
    <row r="10" customFormat="false" ht="15" hidden="false" customHeight="false" outlineLevel="0" collapsed="false">
      <c r="B10" s="6" t="s">
        <v>4</v>
      </c>
      <c r="C10" s="7" t="s">
        <v>5</v>
      </c>
    </row>
    <row r="11" customFormat="false" ht="15" hidden="false" customHeight="false" outlineLevel="0" collapsed="false">
      <c r="B11" s="6" t="s">
        <v>6</v>
      </c>
      <c r="C11" s="7" t="s">
        <v>7</v>
      </c>
    </row>
    <row r="12" customFormat="false" ht="15" hidden="false" customHeight="false" outlineLevel="0" collapsed="false">
      <c r="B12" s="6" t="s">
        <v>8</v>
      </c>
      <c r="C12" s="7" t="s">
        <v>9</v>
      </c>
    </row>
    <row r="13" customFormat="false" ht="15" hidden="false" customHeight="false" outlineLevel="0" collapsed="false">
      <c r="B13" s="6" t="s">
        <v>10</v>
      </c>
      <c r="C13" s="7" t="s">
        <v>11</v>
      </c>
    </row>
    <row r="14" customFormat="false" ht="15" hidden="false" customHeight="false" outlineLevel="0" collapsed="false">
      <c r="B14" s="6" t="s">
        <v>12</v>
      </c>
      <c r="C14" s="7" t="s">
        <v>13</v>
      </c>
    </row>
    <row r="15" customFormat="false" ht="15" hidden="false" customHeight="false" outlineLevel="0" collapsed="false">
      <c r="B15" s="6" t="s">
        <v>14</v>
      </c>
      <c r="C15" s="7" t="s">
        <v>15</v>
      </c>
    </row>
    <row r="17" customFormat="false" ht="15" hidden="false" customHeight="false" outlineLevel="0" collapsed="false">
      <c r="B17" s="8" t="s">
        <v>16</v>
      </c>
      <c r="C17" s="5"/>
      <c r="D17" s="5"/>
    </row>
    <row r="18" customFormat="false" ht="15" hidden="false" customHeight="false" outlineLevel="0" collapsed="false">
      <c r="B18" s="9" t="s">
        <v>17</v>
      </c>
      <c r="C18" s="10" t="s">
        <v>18</v>
      </c>
    </row>
    <row r="19" customFormat="false" ht="15" hidden="false" customHeight="false" outlineLevel="0" collapsed="false">
      <c r="B19" s="9" t="s">
        <v>19</v>
      </c>
      <c r="C19" s="10" t="s">
        <v>20</v>
      </c>
    </row>
    <row r="20" customFormat="false" ht="15" hidden="false" customHeight="false" outlineLevel="0" collapsed="false">
      <c r="B20" s="9" t="s">
        <v>21</v>
      </c>
      <c r="C20" s="10" t="s">
        <v>22</v>
      </c>
    </row>
    <row r="21" customFormat="false" ht="15" hidden="false" customHeight="false" outlineLevel="0" collapsed="false">
      <c r="B21" s="9" t="s">
        <v>23</v>
      </c>
      <c r="C21" s="10" t="s">
        <v>24</v>
      </c>
    </row>
    <row r="22" customFormat="false" ht="15" hidden="false" customHeight="false" outlineLevel="0" collapsed="false">
      <c r="B22" s="9" t="s">
        <v>25</v>
      </c>
      <c r="C22" s="10" t="s">
        <v>26</v>
      </c>
    </row>
    <row r="23" customFormat="false" ht="15" hidden="false" customHeight="false" outlineLevel="0" collapsed="false">
      <c r="B23" s="9" t="s">
        <v>27</v>
      </c>
      <c r="C23" s="10" t="s">
        <v>28</v>
      </c>
    </row>
    <row r="26" customFormat="false" ht="15" hidden="false" customHeight="true" outlineLevel="0" collapsed="false">
      <c r="B26" s="11" t="s">
        <v>29</v>
      </c>
      <c r="C26" s="11"/>
      <c r="D26" s="11"/>
    </row>
    <row r="27" customFormat="false" ht="15" hidden="false" customHeight="false" outlineLevel="0" collapsed="false">
      <c r="B27" s="11"/>
      <c r="C27" s="11"/>
      <c r="D27" s="11"/>
    </row>
    <row r="28" customFormat="false" ht="15" hidden="false" customHeight="false" outlineLevel="0" collapsed="false">
      <c r="B28" s="11"/>
      <c r="C28" s="11"/>
      <c r="D28" s="11"/>
    </row>
  </sheetData>
  <mergeCells count="2">
    <mergeCell ref="B2:D2"/>
    <mergeCell ref="B26:D28"/>
  </mergeCells>
  <printOptions headings="false" gridLines="false" gridLinesSet="true" horizontalCentered="true" verticalCentered="false"/>
  <pageMargins left="0.3" right="0.3" top="0.4" bottom="0.4"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8873B"/>
    <pageSetUpPr fitToPage="true"/>
  </sheetPr>
  <dimension ref="A1:N5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3"/>
    <col collapsed="false" customWidth="true" hidden="false" outlineLevel="0" max="14" min="2" style="0" width="11.5"/>
  </cols>
  <sheetData>
    <row r="1" customFormat="false" ht="21.75" hidden="false" customHeight="true" outlineLevel="0" collapsed="false">
      <c r="A1" s="12" t="s">
        <v>30</v>
      </c>
    </row>
    <row r="2" customFormat="false" ht="13.5" hidden="false" customHeight="true" outlineLevel="0" collapsed="false">
      <c r="A2" s="13" t="s">
        <v>31</v>
      </c>
    </row>
    <row r="3" customFormat="false" ht="3.75" hidden="false" customHeight="true" outlineLevel="0" collapsed="false">
      <c r="A3" s="5"/>
      <c r="B3" s="5"/>
      <c r="C3" s="5"/>
      <c r="D3" s="5"/>
      <c r="E3" s="5"/>
      <c r="F3" s="5"/>
      <c r="G3" s="5"/>
      <c r="H3" s="5"/>
      <c r="I3" s="5"/>
      <c r="J3" s="5"/>
      <c r="K3" s="5"/>
      <c r="L3" s="5"/>
      <c r="M3" s="5"/>
      <c r="N3" s="5"/>
    </row>
    <row r="5" customFormat="false" ht="13.5" hidden="false" customHeight="true" outlineLevel="0" collapsed="false">
      <c r="A5" s="14" t="s">
        <v>32</v>
      </c>
      <c r="B5" s="14"/>
      <c r="D5" s="14" t="s">
        <v>33</v>
      </c>
      <c r="E5" s="14"/>
      <c r="G5" s="14" t="s">
        <v>34</v>
      </c>
      <c r="H5" s="14"/>
      <c r="J5" s="14" t="s">
        <v>35</v>
      </c>
      <c r="K5" s="14"/>
      <c r="M5" s="14" t="s">
        <v>36</v>
      </c>
      <c r="N5" s="14"/>
    </row>
    <row r="6" customFormat="false" ht="27.75" hidden="false" customHeight="true" outlineLevel="0" collapsed="false">
      <c r="A6" s="15" t="n">
        <f aca="false">'P&amp;L'!G9</f>
        <v>5842</v>
      </c>
      <c r="B6" s="15"/>
      <c r="D6" s="15" t="n">
        <f aca="false">'P&amp;L'!G20</f>
        <v>525</v>
      </c>
      <c r="E6" s="15"/>
      <c r="G6" s="16" t="n">
        <f aca="false">KPIs!B9</f>
        <v>0.453954125299555</v>
      </c>
      <c r="H6" s="16"/>
      <c r="J6" s="15" t="n">
        <f aca="false">Data!$B$317</f>
        <v>365</v>
      </c>
      <c r="K6" s="15"/>
      <c r="M6" s="17" t="n">
        <f aca="false">KPIs!B21</f>
        <v>1.81392694063927</v>
      </c>
      <c r="N6" s="17"/>
    </row>
    <row r="7" customFormat="false" ht="15.75" hidden="false" customHeight="true" outlineLevel="0" collapsed="false">
      <c r="A7" s="18" t="str">
        <f aca="false">"vs budget "&amp;TEXT('P&amp;L'!J9,"+0.0%;-0.0%")&amp;"   |   vs LY "&amp;TEXT('P&amp;L'!L9,"+0.0%;-0.0%")</f>
        <v>vs budget +3.0%   |   vs LY +16.5%</v>
      </c>
      <c r="B7" s="18"/>
      <c r="D7" s="18" t="str">
        <f aca="false">"vs budget "&amp;TEXT('P&amp;L'!I20,"+#,##0;-#,##0")&amp;" k   |   vs LY "&amp;TEXT('P&amp;L'!L20,"+0.0%;-0.0%")</f>
        <v>vs budget +62 k   |   vs LY +31.6%</v>
      </c>
      <c r="E7" s="18"/>
      <c r="G7" s="18" t="str">
        <f aca="false">"vs budget "&amp;TEXT(KPIs!E9,"+0.0;-0.0")&amp;"pp"</f>
        <v>vs budget -1.4pp</v>
      </c>
      <c r="H7" s="18"/>
      <c r="J7" s="18" t="str">
        <f aca="false">"down "&amp;TEXT(-'Cash Flow'!B32,"#,##0")&amp;" k in the half"</f>
        <v>down 250 k in the half</v>
      </c>
      <c r="K7" s="18"/>
      <c r="M7" s="18" t="str">
        <f aca="false">"internal cap "&amp;TEXT(KPIs!C21,"0.00")&amp;"x"</f>
        <v>internal cap 1.75x</v>
      </c>
      <c r="N7" s="18"/>
    </row>
    <row r="27" customFormat="false" ht="15" hidden="false" customHeight="false" outlineLevel="0" collapsed="false">
      <c r="A27" s="8" t="s">
        <v>37</v>
      </c>
      <c r="B27" s="5"/>
      <c r="C27" s="5"/>
      <c r="D27" s="5"/>
      <c r="E27" s="5"/>
      <c r="F27" s="5"/>
      <c r="G27" s="5"/>
      <c r="H27" s="5"/>
      <c r="I27" s="5"/>
      <c r="J27" s="5"/>
      <c r="K27" s="5"/>
      <c r="L27" s="5"/>
      <c r="M27" s="5"/>
      <c r="N27" s="5"/>
    </row>
    <row r="28" customFormat="false" ht="12.75" hidden="false" customHeight="true" outlineLevel="0" collapsed="false">
      <c r="A28" s="19" t="s">
        <v>38</v>
      </c>
      <c r="B28" s="20" t="s">
        <v>39</v>
      </c>
      <c r="C28" s="20"/>
      <c r="D28" s="20"/>
      <c r="E28" s="20"/>
      <c r="F28" s="20"/>
      <c r="G28" s="20"/>
      <c r="H28" s="20"/>
      <c r="I28" s="20"/>
      <c r="J28" s="20"/>
      <c r="K28" s="20"/>
      <c r="L28" s="20"/>
      <c r="M28" s="20"/>
      <c r="N28" s="20"/>
    </row>
    <row r="29" customFormat="false" ht="12.75" hidden="false" customHeight="true" outlineLevel="0" collapsed="false">
      <c r="B29" s="20"/>
      <c r="C29" s="20"/>
      <c r="D29" s="20"/>
      <c r="E29" s="20"/>
      <c r="F29" s="20"/>
      <c r="G29" s="20"/>
      <c r="H29" s="20"/>
      <c r="I29" s="20"/>
      <c r="J29" s="20"/>
      <c r="K29" s="20"/>
      <c r="L29" s="20"/>
      <c r="M29" s="20"/>
      <c r="N29" s="20"/>
    </row>
    <row r="31" customFormat="false" ht="12.75" hidden="false" customHeight="true" outlineLevel="0" collapsed="false">
      <c r="A31" s="19" t="s">
        <v>40</v>
      </c>
      <c r="B31" s="20" t="s">
        <v>41</v>
      </c>
      <c r="C31" s="20"/>
      <c r="D31" s="20"/>
      <c r="E31" s="20"/>
      <c r="F31" s="20"/>
      <c r="G31" s="20"/>
      <c r="H31" s="20"/>
      <c r="I31" s="20"/>
      <c r="J31" s="20"/>
      <c r="K31" s="20"/>
      <c r="L31" s="20"/>
      <c r="M31" s="20"/>
      <c r="N31" s="20"/>
    </row>
    <row r="32" customFormat="false" ht="12.75" hidden="false" customHeight="true" outlineLevel="0" collapsed="false">
      <c r="B32" s="20"/>
      <c r="C32" s="20"/>
      <c r="D32" s="20"/>
      <c r="E32" s="20"/>
      <c r="F32" s="20"/>
      <c r="G32" s="20"/>
      <c r="H32" s="20"/>
      <c r="I32" s="20"/>
      <c r="J32" s="20"/>
      <c r="K32" s="20"/>
      <c r="L32" s="20"/>
      <c r="M32" s="20"/>
      <c r="N32" s="20"/>
    </row>
    <row r="34" customFormat="false" ht="12.75" hidden="false" customHeight="true" outlineLevel="0" collapsed="false">
      <c r="A34" s="19" t="s">
        <v>42</v>
      </c>
      <c r="B34" s="20" t="s">
        <v>43</v>
      </c>
      <c r="C34" s="20"/>
      <c r="D34" s="20"/>
      <c r="E34" s="20"/>
      <c r="F34" s="20"/>
      <c r="G34" s="20"/>
      <c r="H34" s="20"/>
      <c r="I34" s="20"/>
      <c r="J34" s="20"/>
      <c r="K34" s="20"/>
      <c r="L34" s="20"/>
      <c r="M34" s="20"/>
      <c r="N34" s="20"/>
    </row>
    <row r="35" customFormat="false" ht="12.75" hidden="false" customHeight="true" outlineLevel="0" collapsed="false">
      <c r="B35" s="20"/>
      <c r="C35" s="20"/>
      <c r="D35" s="20"/>
      <c r="E35" s="20"/>
      <c r="F35" s="20"/>
      <c r="G35" s="20"/>
      <c r="H35" s="20"/>
      <c r="I35" s="20"/>
      <c r="J35" s="20"/>
      <c r="K35" s="20"/>
      <c r="L35" s="20"/>
      <c r="M35" s="20"/>
      <c r="N35" s="20"/>
    </row>
    <row r="37" customFormat="false" ht="12.75" hidden="false" customHeight="true" outlineLevel="0" collapsed="false">
      <c r="A37" s="19" t="s">
        <v>44</v>
      </c>
      <c r="B37" s="20" t="s">
        <v>45</v>
      </c>
      <c r="C37" s="20"/>
      <c r="D37" s="20"/>
      <c r="E37" s="20"/>
      <c r="F37" s="20"/>
      <c r="G37" s="20"/>
      <c r="H37" s="20"/>
      <c r="I37" s="20"/>
      <c r="J37" s="20"/>
      <c r="K37" s="20"/>
      <c r="L37" s="20"/>
      <c r="M37" s="20"/>
      <c r="N37" s="20"/>
    </row>
    <row r="38" customFormat="false" ht="12.75" hidden="false" customHeight="true" outlineLevel="0" collapsed="false">
      <c r="B38" s="20"/>
      <c r="C38" s="20"/>
      <c r="D38" s="20"/>
      <c r="E38" s="20"/>
      <c r="F38" s="20"/>
      <c r="G38" s="20"/>
      <c r="H38" s="20"/>
      <c r="I38" s="20"/>
      <c r="J38" s="20"/>
      <c r="K38" s="20"/>
      <c r="L38" s="20"/>
      <c r="M38" s="20"/>
      <c r="N38" s="20"/>
    </row>
    <row r="40" customFormat="false" ht="12.75" hidden="false" customHeight="true" outlineLevel="0" collapsed="false">
      <c r="A40" s="19" t="s">
        <v>46</v>
      </c>
      <c r="B40" s="20" t="s">
        <v>47</v>
      </c>
      <c r="C40" s="20"/>
      <c r="D40" s="20"/>
      <c r="E40" s="20"/>
      <c r="F40" s="20"/>
      <c r="G40" s="20"/>
      <c r="H40" s="20"/>
      <c r="I40" s="20"/>
      <c r="J40" s="20"/>
      <c r="K40" s="20"/>
      <c r="L40" s="20"/>
      <c r="M40" s="20"/>
      <c r="N40" s="20"/>
    </row>
    <row r="41" customFormat="false" ht="12.75" hidden="false" customHeight="true" outlineLevel="0" collapsed="false">
      <c r="B41" s="20"/>
      <c r="C41" s="20"/>
      <c r="D41" s="20"/>
      <c r="E41" s="20"/>
      <c r="F41" s="20"/>
      <c r="G41" s="20"/>
      <c r="H41" s="20"/>
      <c r="I41" s="20"/>
      <c r="J41" s="20"/>
      <c r="K41" s="20"/>
      <c r="L41" s="20"/>
      <c r="M41" s="20"/>
      <c r="N41" s="20"/>
    </row>
    <row r="43" customFormat="false" ht="12.75" hidden="false" customHeight="true" outlineLevel="0" collapsed="false">
      <c r="A43" s="19" t="s">
        <v>48</v>
      </c>
      <c r="B43" s="20" t="s">
        <v>49</v>
      </c>
      <c r="C43" s="20"/>
      <c r="D43" s="20"/>
      <c r="E43" s="20"/>
      <c r="F43" s="20"/>
      <c r="G43" s="20"/>
      <c r="H43" s="20"/>
      <c r="I43" s="20"/>
      <c r="J43" s="20"/>
      <c r="K43" s="20"/>
      <c r="L43" s="20"/>
      <c r="M43" s="20"/>
      <c r="N43" s="20"/>
    </row>
    <row r="44" customFormat="false" ht="12.75" hidden="false" customHeight="true" outlineLevel="0" collapsed="false">
      <c r="B44" s="20"/>
      <c r="C44" s="20"/>
      <c r="D44" s="20"/>
      <c r="E44" s="20"/>
      <c r="F44" s="20"/>
      <c r="G44" s="20"/>
      <c r="H44" s="20"/>
      <c r="I44" s="20"/>
      <c r="J44" s="20"/>
      <c r="K44" s="20"/>
      <c r="L44" s="20"/>
      <c r="M44" s="20"/>
      <c r="N44" s="20"/>
    </row>
    <row r="47" customFormat="false" ht="15" hidden="false" customHeight="false" outlineLevel="0" collapsed="false">
      <c r="A47" s="8" t="s">
        <v>50</v>
      </c>
      <c r="B47" s="5"/>
      <c r="C47" s="5"/>
      <c r="D47" s="5"/>
      <c r="E47" s="5"/>
      <c r="F47" s="5"/>
      <c r="G47" s="5"/>
      <c r="H47" s="5"/>
      <c r="I47" s="5"/>
      <c r="J47" s="5"/>
      <c r="K47" s="5"/>
      <c r="L47" s="5"/>
      <c r="M47" s="5"/>
      <c r="N47" s="5"/>
    </row>
    <row r="48" customFormat="false" ht="15" hidden="false" customHeight="true" outlineLevel="0" collapsed="false">
      <c r="A48" s="21" t="s">
        <v>51</v>
      </c>
      <c r="B48" s="22" t="s">
        <v>52</v>
      </c>
      <c r="C48" s="22"/>
      <c r="D48" s="22"/>
      <c r="E48" s="22"/>
      <c r="F48" s="22"/>
      <c r="G48" s="22"/>
      <c r="H48" s="22"/>
      <c r="I48" s="22"/>
      <c r="J48" s="22"/>
      <c r="K48" s="22" t="s">
        <v>53</v>
      </c>
      <c r="L48" s="22"/>
      <c r="M48" s="22" t="s">
        <v>54</v>
      </c>
      <c r="N48" s="22"/>
    </row>
    <row r="49" customFormat="false" ht="24" hidden="false" customHeight="true" outlineLevel="0" collapsed="false">
      <c r="A49" s="23" t="s">
        <v>55</v>
      </c>
      <c r="B49" s="24" t="s">
        <v>56</v>
      </c>
      <c r="C49" s="24"/>
      <c r="D49" s="24"/>
      <c r="E49" s="24"/>
      <c r="F49" s="24"/>
      <c r="G49" s="24"/>
      <c r="H49" s="24"/>
      <c r="I49" s="24"/>
      <c r="J49" s="24"/>
      <c r="K49" s="25" t="s">
        <v>57</v>
      </c>
      <c r="L49" s="25"/>
      <c r="M49" s="25" t="s">
        <v>58</v>
      </c>
      <c r="N49" s="25"/>
    </row>
    <row r="50" customFormat="false" ht="24" hidden="false" customHeight="true" outlineLevel="0" collapsed="false">
      <c r="A50" s="23" t="s">
        <v>59</v>
      </c>
      <c r="B50" s="24" t="s">
        <v>60</v>
      </c>
      <c r="C50" s="24"/>
      <c r="D50" s="24"/>
      <c r="E50" s="24"/>
      <c r="F50" s="24"/>
      <c r="G50" s="24"/>
      <c r="H50" s="24"/>
      <c r="I50" s="24"/>
      <c r="J50" s="24"/>
      <c r="K50" s="25" t="s">
        <v>61</v>
      </c>
      <c r="L50" s="25"/>
      <c r="M50" s="25" t="s">
        <v>62</v>
      </c>
      <c r="N50" s="25"/>
    </row>
    <row r="51" customFormat="false" ht="24" hidden="false" customHeight="true" outlineLevel="0" collapsed="false">
      <c r="A51" s="23" t="s">
        <v>63</v>
      </c>
      <c r="B51" s="24" t="s">
        <v>64</v>
      </c>
      <c r="C51" s="24"/>
      <c r="D51" s="24"/>
      <c r="E51" s="24"/>
      <c r="F51" s="24"/>
      <c r="G51" s="24"/>
      <c r="H51" s="24"/>
      <c r="I51" s="24"/>
      <c r="J51" s="24"/>
      <c r="K51" s="25" t="s">
        <v>65</v>
      </c>
      <c r="L51" s="25"/>
      <c r="M51" s="25" t="s">
        <v>66</v>
      </c>
      <c r="N51" s="25"/>
    </row>
    <row r="52" customFormat="false" ht="24" hidden="false" customHeight="true" outlineLevel="0" collapsed="false">
      <c r="A52" s="23" t="s">
        <v>67</v>
      </c>
      <c r="B52" s="24" t="s">
        <v>68</v>
      </c>
      <c r="C52" s="24"/>
      <c r="D52" s="24"/>
      <c r="E52" s="24"/>
      <c r="F52" s="24"/>
      <c r="G52" s="24"/>
      <c r="H52" s="24"/>
      <c r="I52" s="24"/>
      <c r="J52" s="24"/>
      <c r="K52" s="25" t="s">
        <v>69</v>
      </c>
      <c r="L52" s="25"/>
      <c r="M52" s="25" t="s">
        <v>70</v>
      </c>
      <c r="N52" s="25"/>
    </row>
    <row r="53" customFormat="false" ht="24" hidden="false" customHeight="true" outlineLevel="0" collapsed="false">
      <c r="A53" s="23" t="s">
        <v>71</v>
      </c>
      <c r="B53" s="24" t="s">
        <v>72</v>
      </c>
      <c r="C53" s="24"/>
      <c r="D53" s="24"/>
      <c r="E53" s="24"/>
      <c r="F53" s="24"/>
      <c r="G53" s="24"/>
      <c r="H53" s="24"/>
      <c r="I53" s="24"/>
      <c r="J53" s="24"/>
      <c r="K53" s="25" t="s">
        <v>73</v>
      </c>
      <c r="L53" s="25"/>
      <c r="M53" s="25" t="s">
        <v>62</v>
      </c>
      <c r="N53" s="25"/>
    </row>
    <row r="55" customFormat="false" ht="15" hidden="false" customHeight="false" outlineLevel="0" collapsed="false">
      <c r="A55" s="26" t="s">
        <v>74</v>
      </c>
    </row>
  </sheetData>
  <mergeCells count="39">
    <mergeCell ref="A5:B5"/>
    <mergeCell ref="D5:E5"/>
    <mergeCell ref="G5:H5"/>
    <mergeCell ref="J5:K5"/>
    <mergeCell ref="M5:N5"/>
    <mergeCell ref="A6:B6"/>
    <mergeCell ref="D6:E6"/>
    <mergeCell ref="G6:H6"/>
    <mergeCell ref="J6:K6"/>
    <mergeCell ref="M6:N6"/>
    <mergeCell ref="A7:B7"/>
    <mergeCell ref="D7:E7"/>
    <mergeCell ref="G7:H7"/>
    <mergeCell ref="J7:K7"/>
    <mergeCell ref="M7:N7"/>
    <mergeCell ref="B28:N29"/>
    <mergeCell ref="B31:N32"/>
    <mergeCell ref="B34:N35"/>
    <mergeCell ref="B37:N38"/>
    <mergeCell ref="B40:N41"/>
    <mergeCell ref="B43:N44"/>
    <mergeCell ref="B48:J48"/>
    <mergeCell ref="K48:L48"/>
    <mergeCell ref="M48:N48"/>
    <mergeCell ref="B49:J49"/>
    <mergeCell ref="K49:L49"/>
    <mergeCell ref="M49:N49"/>
    <mergeCell ref="B50:J50"/>
    <mergeCell ref="K50:L50"/>
    <mergeCell ref="M50:N50"/>
    <mergeCell ref="B51:J51"/>
    <mergeCell ref="K51:L51"/>
    <mergeCell ref="M51:N51"/>
    <mergeCell ref="B52:J52"/>
    <mergeCell ref="K52:L52"/>
    <mergeCell ref="M52:N52"/>
    <mergeCell ref="B53:J53"/>
    <mergeCell ref="K53:L53"/>
    <mergeCell ref="M53:N53"/>
  </mergeCells>
  <printOptions headings="false" gridLines="false" gridLinesSet="true" horizontalCentered="true" verticalCentered="false"/>
  <pageMargins left="0.3" right="0.3" top="0.4" bottom="0.4"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2293F"/>
    <pageSetUpPr fitToPage="true"/>
  </sheetPr>
  <dimension ref="A1:O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4" min="2" style="0" width="11"/>
    <col collapsed="false" customWidth="true" hidden="false" outlineLevel="0" max="5" min="5" style="0" width="9"/>
    <col collapsed="false" customWidth="true" hidden="false" outlineLevel="0" max="6" min="6" style="0" width="2"/>
    <col collapsed="false" customWidth="true" hidden="false" outlineLevel="0" max="9" min="7" style="0" width="11"/>
    <col collapsed="false" customWidth="true" hidden="false" outlineLevel="0" max="10" min="10" style="0" width="9"/>
    <col collapsed="false" customWidth="true" hidden="false" outlineLevel="0" max="11" min="11" style="0" width="11"/>
    <col collapsed="false" customWidth="true" hidden="false" outlineLevel="0" max="12" min="12" style="0" width="9"/>
    <col collapsed="false" customWidth="true" hidden="false" outlineLevel="0" max="13" min="13" style="0" width="2"/>
    <col collapsed="false" customWidth="true" hidden="false" outlineLevel="0" max="15" min="14" style="0" width="11"/>
  </cols>
  <sheetData>
    <row r="1" customFormat="false" ht="21.75" hidden="false" customHeight="true" outlineLevel="0" collapsed="false">
      <c r="A1" s="12" t="s">
        <v>75</v>
      </c>
    </row>
    <row r="2" customFormat="false" ht="13.5" hidden="false" customHeight="true" outlineLevel="0" collapsed="false">
      <c r="A2" s="13" t="s">
        <v>76</v>
      </c>
    </row>
    <row r="3" customFormat="false" ht="3.75" hidden="false" customHeight="true" outlineLevel="0" collapsed="false">
      <c r="A3" s="5"/>
      <c r="B3" s="5"/>
      <c r="C3" s="5"/>
      <c r="D3" s="5"/>
      <c r="E3" s="5"/>
      <c r="F3" s="5"/>
      <c r="G3" s="5"/>
      <c r="H3" s="5"/>
      <c r="I3" s="5"/>
      <c r="J3" s="5"/>
      <c r="K3" s="5"/>
      <c r="L3" s="5"/>
      <c r="M3" s="5"/>
      <c r="N3" s="5"/>
      <c r="O3" s="5"/>
    </row>
    <row r="5" customFormat="false" ht="15" hidden="false" customHeight="true" outlineLevel="0" collapsed="false">
      <c r="B5" s="27" t="s">
        <v>77</v>
      </c>
      <c r="C5" s="27"/>
      <c r="D5" s="27"/>
      <c r="E5" s="27"/>
      <c r="G5" s="27" t="s">
        <v>78</v>
      </c>
      <c r="H5" s="27"/>
      <c r="I5" s="27"/>
      <c r="J5" s="27"/>
      <c r="K5" s="27"/>
      <c r="L5" s="27"/>
      <c r="N5" s="27" t="s">
        <v>79</v>
      </c>
      <c r="O5" s="27"/>
    </row>
    <row r="6" customFormat="false" ht="25.5" hidden="false" customHeight="true" outlineLevel="0" collapsed="false">
      <c r="A6" s="21" t="s">
        <v>80</v>
      </c>
      <c r="B6" s="21" t="s">
        <v>81</v>
      </c>
      <c r="C6" s="21" t="s">
        <v>82</v>
      </c>
      <c r="D6" s="21" t="s">
        <v>83</v>
      </c>
      <c r="E6" s="21" t="s">
        <v>84</v>
      </c>
      <c r="G6" s="21" t="s">
        <v>81</v>
      </c>
      <c r="H6" s="21" t="s">
        <v>82</v>
      </c>
      <c r="I6" s="21" t="s">
        <v>83</v>
      </c>
      <c r="J6" s="21" t="s">
        <v>84</v>
      </c>
      <c r="K6" s="21" t="s">
        <v>85</v>
      </c>
      <c r="L6" s="21" t="s">
        <v>86</v>
      </c>
      <c r="N6" s="21" t="s">
        <v>82</v>
      </c>
      <c r="O6" s="21" t="s">
        <v>87</v>
      </c>
    </row>
    <row r="7" customFormat="false" ht="15" hidden="false" customHeight="false" outlineLevel="0" collapsed="false">
      <c r="A7" s="28" t="s">
        <v>88</v>
      </c>
      <c r="B7" s="29" t="n">
        <f aca="false">SUMIFS(Data!$E$6:$E$305,Data!$A$6:$A$305,"FY26 Actual",Data!$B$6:$B$305,$A7,Data!$C$6:$C$305,Data!$B$1)</f>
        <v>886</v>
      </c>
      <c r="C7" s="29" t="n">
        <f aca="false">SUMIFS(Data!$E$6:$E$305,Data!$A$6:$A$305,"FY26 Budget",Data!$B$6:$B$305,$A7,Data!$C$6:$C$305,Data!$B$1)</f>
        <v>853</v>
      </c>
      <c r="D7" s="29" t="n">
        <f aca="false">B7-C7</f>
        <v>33</v>
      </c>
      <c r="E7" s="30" t="n">
        <f aca="false">IFERROR(D7/ABS(C7),"")</f>
        <v>0.0386869871043376</v>
      </c>
      <c r="G7" s="29" t="n">
        <f aca="false">SUMIFS(Data!$E$6:$E$305,Data!$A$6:$A$305,"FY26 Actual",Data!$B$6:$B$305,$A7,Data!$C$6:$C$305,"&lt;="&amp;Data!$B$1)</f>
        <v>6610</v>
      </c>
      <c r="H7" s="29" t="n">
        <f aca="false">SUMIFS(Data!$E$6:$E$305,Data!$A$6:$A$305,"FY26 Budget",Data!$B$6:$B$305,$A7,Data!$C$6:$C$305,"&lt;="&amp;Data!$B$1)</f>
        <v>6359</v>
      </c>
      <c r="I7" s="29" t="n">
        <f aca="false">G7-H7</f>
        <v>251</v>
      </c>
      <c r="J7" s="30" t="n">
        <f aca="false">IFERROR(I7/ABS(H7),"")</f>
        <v>0.0394716150338103</v>
      </c>
      <c r="K7" s="29" t="n">
        <f aca="false">SUMIFS(Data!$E$6:$E$305,Data!$A$6:$A$305,"FY25 Actual",Data!$B$6:$B$305,$A7,Data!$C$6:$C$305,"&lt;="&amp;Data!$B$1)</f>
        <v>5664</v>
      </c>
      <c r="L7" s="30" t="n">
        <f aca="false">IFERROR((G7-K7)/ABS(K7),"")</f>
        <v>0.167019774011299</v>
      </c>
      <c r="N7" s="29" t="n">
        <f aca="false">SUMIFS(Data!$E$6:$E$305,Data!$A$6:$A$305,"FY26 Budget",Data!$B$6:$B$305,$A7,Data!$C$6:$C$305,"&lt;=12")</f>
        <v>12180</v>
      </c>
      <c r="O7" s="30" t="n">
        <f aca="false">IFERROR(G7/N7,"")</f>
        <v>0.542692939244663</v>
      </c>
    </row>
    <row r="8" customFormat="false" ht="15" hidden="false" customHeight="false" outlineLevel="0" collapsed="false">
      <c r="A8" s="28" t="s">
        <v>89</v>
      </c>
      <c r="B8" s="29" t="n">
        <f aca="false">SUMIFS(Data!$E$6:$E$305,Data!$A$6:$A$305,"FY26 Actual",Data!$B$6:$B$305,$A8,Data!$C$6:$C$305,Data!$B$1)</f>
        <v>-103</v>
      </c>
      <c r="C8" s="29" t="n">
        <f aca="false">SUMIFS(Data!$E$6:$E$305,Data!$A$6:$A$305,"FY26 Budget",Data!$B$6:$B$305,$A8,Data!$C$6:$C$305,Data!$B$1)</f>
        <v>-92</v>
      </c>
      <c r="D8" s="29" t="n">
        <f aca="false">B8-C8</f>
        <v>-11</v>
      </c>
      <c r="E8" s="30" t="n">
        <f aca="false">IFERROR(D8/ABS(C8),"")</f>
        <v>-0.119565217391304</v>
      </c>
      <c r="G8" s="29" t="n">
        <f aca="false">SUMIFS(Data!$E$6:$E$305,Data!$A$6:$A$305,"FY26 Actual",Data!$B$6:$B$305,$A8,Data!$C$6:$C$305,"&lt;="&amp;Data!$B$1)</f>
        <v>-768</v>
      </c>
      <c r="H8" s="29" t="n">
        <f aca="false">SUMIFS(Data!$E$6:$E$305,Data!$A$6:$A$305,"FY26 Budget",Data!$B$6:$B$305,$A8,Data!$C$6:$C$305,"&lt;="&amp;Data!$B$1)</f>
        <v>-688</v>
      </c>
      <c r="I8" s="29" t="n">
        <f aca="false">G8-H8</f>
        <v>-80</v>
      </c>
      <c r="J8" s="30" t="n">
        <f aca="false">IFERROR(I8/ABS(H8),"")</f>
        <v>-0.116279069767442</v>
      </c>
      <c r="K8" s="29" t="n">
        <f aca="false">SUMIFS(Data!$E$6:$E$305,Data!$A$6:$A$305,"FY25 Actual",Data!$B$6:$B$305,$A8,Data!$C$6:$C$305,"&lt;="&amp;Data!$B$1)</f>
        <v>-648</v>
      </c>
      <c r="L8" s="30" t="n">
        <f aca="false">IFERROR((G8-K8)/ABS(K8),"")</f>
        <v>-0.185185185185185</v>
      </c>
      <c r="N8" s="29" t="n">
        <f aca="false">SUMIFS(Data!$E$6:$E$305,Data!$A$6:$A$305,"FY26 Budget",Data!$B$6:$B$305,$A8,Data!$C$6:$C$305,"&lt;=12")</f>
        <v>-1320</v>
      </c>
      <c r="O8" s="30" t="n">
        <f aca="false">IFERROR(G8/N8,"")</f>
        <v>0.581818181818182</v>
      </c>
    </row>
    <row r="9" customFormat="false" ht="15" hidden="false" customHeight="false" outlineLevel="0" collapsed="false">
      <c r="A9" s="31" t="s">
        <v>90</v>
      </c>
      <c r="B9" s="32" t="n">
        <f aca="false">B7+B8</f>
        <v>783</v>
      </c>
      <c r="C9" s="32" t="n">
        <f aca="false">C7+C8</f>
        <v>761</v>
      </c>
      <c r="D9" s="32" t="n">
        <f aca="false">B9-C9</f>
        <v>22</v>
      </c>
      <c r="E9" s="33" t="n">
        <f aca="false">IFERROR(D9/ABS(C9),"")</f>
        <v>0.0289093298291721</v>
      </c>
      <c r="G9" s="32" t="n">
        <f aca="false">G7+G8</f>
        <v>5842</v>
      </c>
      <c r="H9" s="32" t="n">
        <f aca="false">H7+H8</f>
        <v>5671</v>
      </c>
      <c r="I9" s="32" t="n">
        <f aca="false">G9-H9</f>
        <v>171</v>
      </c>
      <c r="J9" s="33" t="n">
        <f aca="false">IFERROR(I9/ABS(H9),"")</f>
        <v>0.030153412096632</v>
      </c>
      <c r="K9" s="32" t="n">
        <f aca="false">K7+K8</f>
        <v>5016</v>
      </c>
      <c r="L9" s="33" t="n">
        <f aca="false">IFERROR((G9-K9)/ABS(K9),"")</f>
        <v>0.164673046251994</v>
      </c>
      <c r="N9" s="32" t="n">
        <f aca="false">N7+N8</f>
        <v>10860</v>
      </c>
      <c r="O9" s="33" t="n">
        <f aca="false">IFERROR(G9/N9,"")</f>
        <v>0.537937384898711</v>
      </c>
    </row>
    <row r="10" customFormat="false" ht="15" hidden="false" customHeight="false" outlineLevel="0" collapsed="false">
      <c r="A10" s="28" t="s">
        <v>91</v>
      </c>
      <c r="B10" s="29" t="n">
        <f aca="false">SUMIFS(Data!$E$6:$E$305,Data!$A$6:$A$305,"FY26 Actual",Data!$B$6:$B$305,$A10,Data!$C$6:$C$305,Data!$B$1)</f>
        <v>-427</v>
      </c>
      <c r="C10" s="29" t="n">
        <f aca="false">SUMIFS(Data!$E$6:$E$305,Data!$A$6:$A$305,"FY26 Budget",Data!$B$6:$B$305,$A10,Data!$C$6:$C$305,Data!$B$1)</f>
        <v>-404</v>
      </c>
      <c r="D10" s="29" t="n">
        <f aca="false">B10-C10</f>
        <v>-23</v>
      </c>
      <c r="E10" s="30" t="n">
        <f aca="false">IFERROR(D10/ABS(C10),"")</f>
        <v>-0.0569306930693069</v>
      </c>
      <c r="G10" s="29" t="n">
        <f aca="false">SUMIFS(Data!$E$6:$E$305,Data!$A$6:$A$305,"FY26 Actual",Data!$B$6:$B$305,$A10,Data!$C$6:$C$305,"&lt;="&amp;Data!$B$1)</f>
        <v>-3190</v>
      </c>
      <c r="H10" s="29" t="n">
        <f aca="false">SUMIFS(Data!$E$6:$E$305,Data!$A$6:$A$305,"FY26 Budget",Data!$B$6:$B$305,$A10,Data!$C$6:$C$305,"&lt;="&amp;Data!$B$1)</f>
        <v>-3017</v>
      </c>
      <c r="I10" s="29" t="n">
        <f aca="false">G10-H10</f>
        <v>-173</v>
      </c>
      <c r="J10" s="30" t="n">
        <f aca="false">IFERROR(I10/ABS(H10),"")</f>
        <v>-0.0573417301955585</v>
      </c>
      <c r="K10" s="29" t="n">
        <f aca="false">SUMIFS(Data!$E$6:$E$305,Data!$A$6:$A$305,"FY25 Actual",Data!$B$6:$B$305,$A10,Data!$C$6:$C$305,"&lt;="&amp;Data!$B$1)</f>
        <v>-2709</v>
      </c>
      <c r="L10" s="30" t="n">
        <f aca="false">IFERROR((G10-K10)/ABS(K10),"")</f>
        <v>-0.177556293835364</v>
      </c>
      <c r="N10" s="29" t="n">
        <f aca="false">SUMIFS(Data!$E$6:$E$305,Data!$A$6:$A$305,"FY26 Budget",Data!$B$6:$B$305,$A10,Data!$C$6:$C$305,"&lt;=12")</f>
        <v>-5778</v>
      </c>
      <c r="O10" s="30" t="n">
        <f aca="false">IFERROR(G10/N10,"")</f>
        <v>0.552094150224991</v>
      </c>
    </row>
    <row r="11" customFormat="false" ht="15" hidden="false" customHeight="false" outlineLevel="0" collapsed="false">
      <c r="A11" s="34" t="s">
        <v>92</v>
      </c>
      <c r="B11" s="35" t="n">
        <f aca="false">B9+B10</f>
        <v>356</v>
      </c>
      <c r="C11" s="35" t="n">
        <f aca="false">C9+C10</f>
        <v>357</v>
      </c>
      <c r="D11" s="35" t="n">
        <f aca="false">B11-C11</f>
        <v>-1</v>
      </c>
      <c r="E11" s="36" t="n">
        <f aca="false">IFERROR(D11/ABS(C11),"")</f>
        <v>-0.00280112044817927</v>
      </c>
      <c r="G11" s="35" t="n">
        <f aca="false">G9+G10</f>
        <v>2652</v>
      </c>
      <c r="H11" s="35" t="n">
        <f aca="false">H9+H10</f>
        <v>2654</v>
      </c>
      <c r="I11" s="35" t="n">
        <f aca="false">G11-H11</f>
        <v>-2</v>
      </c>
      <c r="J11" s="36" t="n">
        <f aca="false">IFERROR(I11/ABS(H11),"")</f>
        <v>-0.000753579502637528</v>
      </c>
      <c r="K11" s="35" t="n">
        <f aca="false">K9+K10</f>
        <v>2307</v>
      </c>
      <c r="L11" s="36" t="n">
        <f aca="false">IFERROR((G11-K11)/ABS(K11),"")</f>
        <v>0.149544863459038</v>
      </c>
      <c r="N11" s="35" t="n">
        <f aca="false">N9+N10</f>
        <v>5082</v>
      </c>
      <c r="O11" s="36" t="n">
        <f aca="false">IFERROR(G11/N11,"")</f>
        <v>0.521841794569067</v>
      </c>
    </row>
    <row r="12" customFormat="false" ht="15" hidden="false" customHeight="false" outlineLevel="0" collapsed="false">
      <c r="A12" s="37" t="s">
        <v>93</v>
      </c>
      <c r="B12" s="38" t="n">
        <f aca="false">IFERROR(B11/B9,"")</f>
        <v>0.454661558109834</v>
      </c>
      <c r="C12" s="38" t="n">
        <f aca="false">IFERROR(C11/C9,"")</f>
        <v>0.469119579500657</v>
      </c>
      <c r="D12" s="39" t="n">
        <f aca="false">IFERROR((B12-C12)*100,"")</f>
        <v>-1.4458021390823</v>
      </c>
      <c r="G12" s="38" t="n">
        <f aca="false">IFERROR(G11/G9,"")</f>
        <v>0.453954125299555</v>
      </c>
      <c r="H12" s="38" t="n">
        <f aca="false">IFERROR(H11/H9,"")</f>
        <v>0.467995062599189</v>
      </c>
      <c r="I12" s="39" t="n">
        <f aca="false">IFERROR((G12-H12)*100,"")</f>
        <v>-1.4040937299634</v>
      </c>
      <c r="K12" s="38" t="n">
        <f aca="false">IFERROR(K11/K9,"")</f>
        <v>0.459928229665072</v>
      </c>
      <c r="L12" s="39" t="n">
        <f aca="false">IFERROR((G12-K12)*100,"")</f>
        <v>-0.597410436551688</v>
      </c>
      <c r="N12" s="38" t="n">
        <f aca="false">IFERROR(N11/N9,"")</f>
        <v>0.467955801104972</v>
      </c>
    </row>
    <row r="14" customFormat="false" ht="15" hidden="false" customHeight="false" outlineLevel="0" collapsed="false">
      <c r="A14" s="28" t="s">
        <v>94</v>
      </c>
      <c r="B14" s="29" t="n">
        <f aca="false">SUMIFS(Data!$E$6:$E$305,Data!$A$6:$A$305,"FY26 Actual",Data!$B$6:$B$305,$A14,Data!$C$6:$C$305,Data!$B$1)</f>
        <v>-49</v>
      </c>
      <c r="C14" s="29" t="n">
        <f aca="false">SUMIFS(Data!$E$6:$E$305,Data!$A$6:$A$305,"FY26 Budget",Data!$B$6:$B$305,$A14,Data!$C$6:$C$305,Data!$B$1)</f>
        <v>-46</v>
      </c>
      <c r="D14" s="29" t="n">
        <f aca="false">B14-C14</f>
        <v>-3</v>
      </c>
      <c r="E14" s="30" t="n">
        <f aca="false">IFERROR(D14/ABS(C14),"")</f>
        <v>-0.0652173913043478</v>
      </c>
      <c r="G14" s="29" t="n">
        <f aca="false">SUMIFS(Data!$E$6:$E$305,Data!$A$6:$A$305,"FY26 Actual",Data!$B$6:$B$305,$A14,Data!$C$6:$C$305,"&lt;="&amp;Data!$B$1)</f>
        <v>-372</v>
      </c>
      <c r="H14" s="29" t="n">
        <f aca="false">SUMIFS(Data!$E$6:$E$305,Data!$A$6:$A$305,"FY26 Budget",Data!$B$6:$B$305,$A14,Data!$C$6:$C$305,"&lt;="&amp;Data!$B$1)</f>
        <v>-340</v>
      </c>
      <c r="I14" s="29" t="n">
        <f aca="false">G14-H14</f>
        <v>-32</v>
      </c>
      <c r="J14" s="30" t="n">
        <f aca="false">IFERROR(I14/ABS(H14),"")</f>
        <v>-0.0941176470588235</v>
      </c>
      <c r="K14" s="29" t="n">
        <f aca="false">SUMIFS(Data!$E$6:$E$305,Data!$A$6:$A$305,"FY25 Actual",Data!$B$6:$B$305,$A14,Data!$C$6:$C$305,"&lt;="&amp;Data!$B$1)</f>
        <v>-316</v>
      </c>
      <c r="L14" s="30" t="n">
        <f aca="false">IFERROR((G14-K14)/ABS(K14),"")</f>
        <v>-0.177215189873418</v>
      </c>
      <c r="N14" s="29" t="n">
        <f aca="false">SUMIFS(Data!$E$6:$E$305,Data!$A$6:$A$305,"FY26 Budget",Data!$B$6:$B$305,$A14,Data!$C$6:$C$305,"&lt;=12")</f>
        <v>-652</v>
      </c>
      <c r="O14" s="30" t="n">
        <f aca="false">IFERROR(G14/N14,"")</f>
        <v>0.570552147239264</v>
      </c>
    </row>
    <row r="15" customFormat="false" ht="15" hidden="false" customHeight="false" outlineLevel="0" collapsed="false">
      <c r="A15" s="28" t="s">
        <v>95</v>
      </c>
      <c r="B15" s="29" t="n">
        <f aca="false">SUMIFS(Data!$E$6:$E$305,Data!$A$6:$A$305,"FY26 Actual",Data!$B$6:$B$305,$A15,Data!$C$6:$C$305,Data!$B$1)</f>
        <v>-103</v>
      </c>
      <c r="C15" s="29" t="n">
        <f aca="false">SUMIFS(Data!$E$6:$E$305,Data!$A$6:$A$305,"FY26 Budget",Data!$B$6:$B$305,$A15,Data!$C$6:$C$305,Data!$B$1)</f>
        <v>-122</v>
      </c>
      <c r="D15" s="29" t="n">
        <f aca="false">B15-C15</f>
        <v>19</v>
      </c>
      <c r="E15" s="30" t="n">
        <f aca="false">IFERROR(D15/ABS(C15),"")</f>
        <v>0.155737704918033</v>
      </c>
      <c r="G15" s="29" t="n">
        <f aca="false">SUMIFS(Data!$E$6:$E$305,Data!$A$6:$A$305,"FY26 Actual",Data!$B$6:$B$305,$A15,Data!$C$6:$C$305,"&lt;="&amp;Data!$B$1)</f>
        <v>-712</v>
      </c>
      <c r="H15" s="29" t="n">
        <f aca="false">SUMIFS(Data!$E$6:$E$305,Data!$A$6:$A$305,"FY26 Budget",Data!$B$6:$B$305,$A15,Data!$C$6:$C$305,"&lt;="&amp;Data!$B$1)</f>
        <v>-837</v>
      </c>
      <c r="I15" s="29" t="n">
        <f aca="false">G15-H15</f>
        <v>125</v>
      </c>
      <c r="J15" s="30" t="n">
        <f aca="false">IFERROR(I15/ABS(H15),"")</f>
        <v>0.149342891278375</v>
      </c>
      <c r="K15" s="29" t="n">
        <f aca="false">SUMIFS(Data!$E$6:$E$305,Data!$A$6:$A$305,"FY25 Actual",Data!$B$6:$B$305,$A15,Data!$C$6:$C$305,"&lt;="&amp;Data!$B$1)</f>
        <v>-686</v>
      </c>
      <c r="L15" s="30" t="n">
        <f aca="false">IFERROR((G15-K15)/ABS(K15),"")</f>
        <v>-0.0379008746355685</v>
      </c>
      <c r="N15" s="29" t="n">
        <f aca="false">SUMIFS(Data!$E$6:$E$305,Data!$A$6:$A$305,"FY26 Budget",Data!$B$6:$B$305,$A15,Data!$C$6:$C$305,"&lt;=12")</f>
        <v>-1520</v>
      </c>
      <c r="O15" s="30" t="n">
        <f aca="false">IFERROR(G15/N15,"")</f>
        <v>0.468421052631579</v>
      </c>
    </row>
    <row r="16" customFormat="false" ht="15" hidden="false" customHeight="false" outlineLevel="0" collapsed="false">
      <c r="A16" s="28" t="s">
        <v>96</v>
      </c>
      <c r="B16" s="29" t="n">
        <f aca="false">SUMIFS(Data!$E$6:$E$305,Data!$A$6:$A$305,"FY26 Actual",Data!$B$6:$B$305,$A16,Data!$C$6:$C$305,Data!$B$1)</f>
        <v>-138</v>
      </c>
      <c r="C16" s="29" t="n">
        <f aca="false">SUMIFS(Data!$E$6:$E$305,Data!$A$6:$A$305,"FY26 Budget",Data!$B$6:$B$305,$A16,Data!$C$6:$C$305,Data!$B$1)</f>
        <v>-134</v>
      </c>
      <c r="D16" s="29" t="n">
        <f aca="false">B16-C16</f>
        <v>-4</v>
      </c>
      <c r="E16" s="30" t="n">
        <f aca="false">IFERROR(D16/ABS(C16),"")</f>
        <v>-0.0298507462686567</v>
      </c>
      <c r="G16" s="29" t="n">
        <f aca="false">SUMIFS(Data!$E$6:$E$305,Data!$A$6:$A$305,"FY26 Actual",Data!$B$6:$B$305,$A16,Data!$C$6:$C$305,"&lt;="&amp;Data!$B$1)</f>
        <v>-838</v>
      </c>
      <c r="H16" s="29" t="n">
        <f aca="false">SUMIFS(Data!$E$6:$E$305,Data!$A$6:$A$305,"FY26 Budget",Data!$B$6:$B$305,$A16,Data!$C$6:$C$305,"&lt;="&amp;Data!$B$1)</f>
        <v>-804</v>
      </c>
      <c r="I16" s="29" t="n">
        <f aca="false">G16-H16</f>
        <v>-34</v>
      </c>
      <c r="J16" s="30" t="n">
        <f aca="false">IFERROR(I16/ABS(H16),"")</f>
        <v>-0.0422885572139304</v>
      </c>
      <c r="K16" s="29" t="n">
        <f aca="false">SUMIFS(Data!$E$6:$E$305,Data!$A$6:$A$305,"FY25 Actual",Data!$B$6:$B$305,$A16,Data!$C$6:$C$305,"&lt;="&amp;Data!$B$1)</f>
        <v>-714</v>
      </c>
      <c r="L16" s="30" t="n">
        <f aca="false">IFERROR((G16-K16)/ABS(K16),"")</f>
        <v>-0.173669467787115</v>
      </c>
      <c r="N16" s="29" t="n">
        <f aca="false">SUMIFS(Data!$E$6:$E$305,Data!$A$6:$A$305,"FY26 Budget",Data!$B$6:$B$305,$A16,Data!$C$6:$C$305,"&lt;=12")</f>
        <v>-1610</v>
      </c>
      <c r="O16" s="30" t="n">
        <f aca="false">IFERROR(G16/N16,"")</f>
        <v>0.520496894409938</v>
      </c>
    </row>
    <row r="17" customFormat="false" ht="15" hidden="false" customHeight="false" outlineLevel="0" collapsed="false">
      <c r="A17" s="28" t="s">
        <v>97</v>
      </c>
      <c r="B17" s="29" t="n">
        <f aca="false">SUMIFS(Data!$E$6:$E$305,Data!$A$6:$A$305,"FY26 Actual",Data!$B$6:$B$305,$A17,Data!$C$6:$C$305,Data!$B$1)</f>
        <v>-35</v>
      </c>
      <c r="C17" s="29" t="n">
        <f aca="false">SUMIFS(Data!$E$6:$E$305,Data!$A$6:$A$305,"FY26 Budget",Data!$B$6:$B$305,$A17,Data!$C$6:$C$305,Data!$B$1)</f>
        <v>-35</v>
      </c>
      <c r="D17" s="29" t="n">
        <f aca="false">B17-C17</f>
        <v>0</v>
      </c>
      <c r="E17" s="30" t="n">
        <f aca="false">IFERROR(D17/ABS(C17),"")</f>
        <v>0</v>
      </c>
      <c r="G17" s="29" t="n">
        <f aca="false">SUMIFS(Data!$E$6:$E$305,Data!$A$6:$A$305,"FY26 Actual",Data!$B$6:$B$305,$A17,Data!$C$6:$C$305,"&lt;="&amp;Data!$B$1)</f>
        <v>-205</v>
      </c>
      <c r="H17" s="29" t="n">
        <f aca="false">SUMIFS(Data!$E$6:$E$305,Data!$A$6:$A$305,"FY26 Budget",Data!$B$6:$B$305,$A17,Data!$C$6:$C$305,"&lt;="&amp;Data!$B$1)</f>
        <v>-210</v>
      </c>
      <c r="I17" s="29" t="n">
        <f aca="false">G17-H17</f>
        <v>5</v>
      </c>
      <c r="J17" s="30" t="n">
        <f aca="false">IFERROR(I17/ABS(H17),"")</f>
        <v>0.0238095238095238</v>
      </c>
      <c r="K17" s="29" t="n">
        <f aca="false">SUMIFS(Data!$E$6:$E$305,Data!$A$6:$A$305,"FY25 Actual",Data!$B$6:$B$305,$A17,Data!$C$6:$C$305,"&lt;="&amp;Data!$B$1)</f>
        <v>-192</v>
      </c>
      <c r="L17" s="30" t="n">
        <f aca="false">IFERROR((G17-K17)/ABS(K17),"")</f>
        <v>-0.0677083333333333</v>
      </c>
      <c r="N17" s="29" t="n">
        <f aca="false">SUMIFS(Data!$E$6:$E$305,Data!$A$6:$A$305,"FY26 Budget",Data!$B$6:$B$305,$A17,Data!$C$6:$C$305,"&lt;=12")</f>
        <v>-420</v>
      </c>
      <c r="O17" s="30" t="n">
        <f aca="false">IFERROR(G17/N17,"")</f>
        <v>0.488095238095238</v>
      </c>
    </row>
    <row r="18" customFormat="false" ht="15" hidden="false" customHeight="false" outlineLevel="0" collapsed="false">
      <c r="A18" s="34" t="s">
        <v>98</v>
      </c>
      <c r="B18" s="35" t="n">
        <f aca="false">B14+B15+B16+B17</f>
        <v>-325</v>
      </c>
      <c r="C18" s="35" t="n">
        <f aca="false">C14+C15+C16+C17</f>
        <v>-337</v>
      </c>
      <c r="D18" s="35" t="n">
        <f aca="false">B18-C18</f>
        <v>12</v>
      </c>
      <c r="E18" s="36" t="n">
        <f aca="false">IFERROR(D18/ABS(C18),"")</f>
        <v>0.0356083086053413</v>
      </c>
      <c r="G18" s="35" t="n">
        <f aca="false">G14+G15+G16+G17</f>
        <v>-2127</v>
      </c>
      <c r="H18" s="35" t="n">
        <f aca="false">H14+H15+H16+H17</f>
        <v>-2191</v>
      </c>
      <c r="I18" s="35" t="n">
        <f aca="false">G18-H18</f>
        <v>64</v>
      </c>
      <c r="J18" s="36" t="n">
        <f aca="false">IFERROR(I18/ABS(H18),"")</f>
        <v>0.0292104062072113</v>
      </c>
      <c r="K18" s="35" t="n">
        <f aca="false">K14+K15+K16+K17</f>
        <v>-1908</v>
      </c>
      <c r="L18" s="36" t="n">
        <f aca="false">IFERROR((G18-K18)/ABS(K18),"")</f>
        <v>-0.114779874213836</v>
      </c>
      <c r="N18" s="35" t="n">
        <f aca="false">N14+N15+N16+N17</f>
        <v>-4202</v>
      </c>
      <c r="O18" s="36" t="n">
        <f aca="false">IFERROR(G18/N18,"")</f>
        <v>0.506187529747739</v>
      </c>
    </row>
    <row r="20" customFormat="false" ht="15" hidden="false" customHeight="false" outlineLevel="0" collapsed="false">
      <c r="A20" s="31" t="s">
        <v>99</v>
      </c>
      <c r="B20" s="32" t="n">
        <f aca="false">B11+B18</f>
        <v>31</v>
      </c>
      <c r="C20" s="32" t="n">
        <f aca="false">C11+C18</f>
        <v>20</v>
      </c>
      <c r="D20" s="32" t="n">
        <f aca="false">B20-C20</f>
        <v>11</v>
      </c>
      <c r="E20" s="33" t="n">
        <f aca="false">IFERROR(D20/ABS(C20),"")</f>
        <v>0.55</v>
      </c>
      <c r="G20" s="32" t="n">
        <f aca="false">G11+G18</f>
        <v>525</v>
      </c>
      <c r="H20" s="32" t="n">
        <f aca="false">H11+H18</f>
        <v>463</v>
      </c>
      <c r="I20" s="32" t="n">
        <f aca="false">G20-H20</f>
        <v>62</v>
      </c>
      <c r="J20" s="33" t="n">
        <f aca="false">IFERROR(I20/ABS(H20),"")</f>
        <v>0.133909287257019</v>
      </c>
      <c r="K20" s="32" t="n">
        <f aca="false">K11+K18</f>
        <v>399</v>
      </c>
      <c r="L20" s="33" t="n">
        <f aca="false">IFERROR((G20-K20)/ABS(K20),"")</f>
        <v>0.315789473684211</v>
      </c>
      <c r="N20" s="32" t="n">
        <f aca="false">N11+N18</f>
        <v>880</v>
      </c>
      <c r="O20" s="33" t="n">
        <f aca="false">IFERROR(G20/N20,"")</f>
        <v>0.596590909090909</v>
      </c>
    </row>
    <row r="21" customFormat="false" ht="15" hidden="false" customHeight="false" outlineLevel="0" collapsed="false">
      <c r="A21" s="37" t="s">
        <v>100</v>
      </c>
      <c r="B21" s="38" t="n">
        <f aca="false">IFERROR(B20/B9,"")</f>
        <v>0.0395913154533844</v>
      </c>
      <c r="C21" s="38" t="n">
        <f aca="false">IFERROR(C20/C9,"")</f>
        <v>0.026281208935611</v>
      </c>
      <c r="D21" s="39" t="n">
        <f aca="false">IFERROR((B21-C21)*100,"")</f>
        <v>1.33101065177734</v>
      </c>
      <c r="G21" s="38" t="n">
        <f aca="false">IFERROR(G20/G9,"")</f>
        <v>0.0898664840807942</v>
      </c>
      <c r="H21" s="38" t="n">
        <f aca="false">IFERROR(H20/H9,"")</f>
        <v>0.0816434491271381</v>
      </c>
      <c r="I21" s="39" t="n">
        <f aca="false">IFERROR((G21-H21)*100,"")</f>
        <v>0.822303495365617</v>
      </c>
      <c r="K21" s="38" t="n">
        <f aca="false">IFERROR(K20/K9,"")</f>
        <v>0.0795454545454545</v>
      </c>
      <c r="L21" s="39" t="n">
        <f aca="false">IFERROR((G21-K21)*100,"")</f>
        <v>1.03210295353397</v>
      </c>
      <c r="N21" s="38" t="n">
        <f aca="false">IFERROR(N20/N9,"")</f>
        <v>0.0810313075506446</v>
      </c>
    </row>
    <row r="23" customFormat="false" ht="15" hidden="false" customHeight="false" outlineLevel="0" collapsed="false">
      <c r="A23" s="28" t="s">
        <v>101</v>
      </c>
      <c r="B23" s="29" t="n">
        <f aca="false">SUMIFS(Data!$E$6:$E$305,Data!$A$6:$A$305,"FY26 Actual",Data!$B$6:$B$305,$A23,Data!$C$6:$C$305,Data!$B$1)</f>
        <v>-19</v>
      </c>
      <c r="C23" s="29" t="n">
        <f aca="false">SUMIFS(Data!$E$6:$E$305,Data!$A$6:$A$305,"FY26 Budget",Data!$B$6:$B$305,$A23,Data!$C$6:$C$305,Data!$B$1)</f>
        <v>-21</v>
      </c>
      <c r="D23" s="29" t="n">
        <f aca="false">B23-C23</f>
        <v>2</v>
      </c>
      <c r="E23" s="30" t="n">
        <f aca="false">IFERROR(D23/ABS(C23),"")</f>
        <v>0.0952380952380952</v>
      </c>
      <c r="G23" s="29" t="n">
        <f aca="false">SUMIFS(Data!$E$6:$E$305,Data!$A$6:$A$305,"FY26 Actual",Data!$B$6:$B$305,$A23,Data!$C$6:$C$305,"&lt;="&amp;Data!$B$1)</f>
        <v>-129</v>
      </c>
      <c r="H23" s="29" t="n">
        <f aca="false">SUMIFS(Data!$E$6:$E$305,Data!$A$6:$A$305,"FY26 Budget",Data!$B$6:$B$305,$A23,Data!$C$6:$C$305,"&lt;="&amp;Data!$B$1)</f>
        <v>-126</v>
      </c>
      <c r="I23" s="29" t="n">
        <f aca="false">G23-H23</f>
        <v>-3</v>
      </c>
      <c r="J23" s="30" t="n">
        <f aca="false">IFERROR(I23/ABS(H23),"")</f>
        <v>-0.0238095238095238</v>
      </c>
      <c r="K23" s="29" t="n">
        <f aca="false">SUMIFS(Data!$E$6:$E$305,Data!$A$6:$A$305,"FY25 Actual",Data!$B$6:$B$305,$A23,Data!$C$6:$C$305,"&lt;="&amp;Data!$B$1)</f>
        <v>-120</v>
      </c>
      <c r="L23" s="30" t="n">
        <f aca="false">IFERROR((G23-K23)/ABS(K23),"")</f>
        <v>-0.075</v>
      </c>
      <c r="N23" s="29" t="n">
        <f aca="false">SUMIFS(Data!$E$6:$E$305,Data!$A$6:$A$305,"FY26 Budget",Data!$B$6:$B$305,$A23,Data!$C$6:$C$305,"&lt;=12")</f>
        <v>-255</v>
      </c>
      <c r="O23" s="30" t="n">
        <f aca="false">IFERROR(G23/N23,"")</f>
        <v>0.505882352941176</v>
      </c>
    </row>
    <row r="24" customFormat="false" ht="15" hidden="false" customHeight="false" outlineLevel="0" collapsed="false">
      <c r="A24" s="34" t="s">
        <v>102</v>
      </c>
      <c r="B24" s="35" t="n">
        <f aca="false">B20+B23</f>
        <v>12</v>
      </c>
      <c r="C24" s="35" t="n">
        <f aca="false">C20+C23</f>
        <v>-1</v>
      </c>
      <c r="D24" s="35" t="n">
        <f aca="false">B24-C24</f>
        <v>13</v>
      </c>
      <c r="E24" s="36" t="n">
        <f aca="false">IFERROR(D24/ABS(C24),"")</f>
        <v>13</v>
      </c>
      <c r="G24" s="35" t="n">
        <f aca="false">G20+G23</f>
        <v>396</v>
      </c>
      <c r="H24" s="35" t="n">
        <f aca="false">H20+H23</f>
        <v>337</v>
      </c>
      <c r="I24" s="35" t="n">
        <f aca="false">G24-H24</f>
        <v>59</v>
      </c>
      <c r="J24" s="36" t="n">
        <f aca="false">IFERROR(I24/ABS(H24),"")</f>
        <v>0.175074183976261</v>
      </c>
      <c r="K24" s="35" t="n">
        <f aca="false">K20+K23</f>
        <v>279</v>
      </c>
      <c r="L24" s="36" t="n">
        <f aca="false">IFERROR((G24-K24)/ABS(K24),"")</f>
        <v>0.419354838709677</v>
      </c>
      <c r="N24" s="35" t="n">
        <f aca="false">N20+N23</f>
        <v>625</v>
      </c>
      <c r="O24" s="36" t="n">
        <f aca="false">IFERROR(G24/N24,"")</f>
        <v>0.6336</v>
      </c>
    </row>
    <row r="25" customFormat="false" ht="15" hidden="false" customHeight="false" outlineLevel="0" collapsed="false">
      <c r="A25" s="28" t="s">
        <v>103</v>
      </c>
      <c r="B25" s="29" t="n">
        <f aca="false">SUMIFS(Data!$E$6:$E$305,Data!$A$6:$A$305,"FY26 Actual",Data!$B$6:$B$305,$A25,Data!$C$6:$C$305,Data!$B$1)</f>
        <v>-9</v>
      </c>
      <c r="C25" s="29" t="n">
        <f aca="false">SUMIFS(Data!$E$6:$E$305,Data!$A$6:$A$305,"FY26 Budget",Data!$B$6:$B$305,$A25,Data!$C$6:$C$305,Data!$B$1)</f>
        <v>-7</v>
      </c>
      <c r="D25" s="29" t="n">
        <f aca="false">B25-C25</f>
        <v>-2</v>
      </c>
      <c r="E25" s="30" t="n">
        <f aca="false">IFERROR(D25/ABS(C25),"")</f>
        <v>-0.285714285714286</v>
      </c>
      <c r="G25" s="29" t="n">
        <f aca="false">SUMIFS(Data!$E$6:$E$305,Data!$A$6:$A$305,"FY26 Actual",Data!$B$6:$B$305,$A25,Data!$C$6:$C$305,"&lt;="&amp;Data!$B$1)</f>
        <v>-44</v>
      </c>
      <c r="H25" s="29" t="n">
        <f aca="false">SUMIFS(Data!$E$6:$E$305,Data!$A$6:$A$305,"FY26 Budget",Data!$B$6:$B$305,$A25,Data!$C$6:$C$305,"&lt;="&amp;Data!$B$1)</f>
        <v>-42</v>
      </c>
      <c r="I25" s="29" t="n">
        <f aca="false">G25-H25</f>
        <v>-2</v>
      </c>
      <c r="J25" s="30" t="n">
        <f aca="false">IFERROR(I25/ABS(H25),"")</f>
        <v>-0.0476190476190476</v>
      </c>
      <c r="K25" s="29" t="n">
        <f aca="false">SUMIFS(Data!$E$6:$E$305,Data!$A$6:$A$305,"FY25 Actual",Data!$B$6:$B$305,$A25,Data!$C$6:$C$305,"&lt;="&amp;Data!$B$1)</f>
        <v>-42</v>
      </c>
      <c r="L25" s="30" t="n">
        <f aca="false">IFERROR((G25-K25)/ABS(K25),"")</f>
        <v>-0.0476190476190476</v>
      </c>
      <c r="N25" s="29" t="n">
        <f aca="false">SUMIFS(Data!$E$6:$E$305,Data!$A$6:$A$305,"FY26 Budget",Data!$B$6:$B$305,$A25,Data!$C$6:$C$305,"&lt;=12")</f>
        <v>-85</v>
      </c>
      <c r="O25" s="30" t="n">
        <f aca="false">IFERROR(G25/N25,"")</f>
        <v>0.51764705882353</v>
      </c>
    </row>
    <row r="26" customFormat="false" ht="15" hidden="false" customHeight="false" outlineLevel="0" collapsed="false">
      <c r="A26" s="34" t="s">
        <v>104</v>
      </c>
      <c r="B26" s="35" t="n">
        <f aca="false">B24+B25</f>
        <v>3</v>
      </c>
      <c r="C26" s="35" t="n">
        <f aca="false">C24+C25</f>
        <v>-8</v>
      </c>
      <c r="D26" s="35" t="n">
        <f aca="false">B26-C26</f>
        <v>11</v>
      </c>
      <c r="E26" s="36" t="n">
        <f aca="false">IFERROR(D26/ABS(C26),"")</f>
        <v>1.375</v>
      </c>
      <c r="G26" s="35" t="n">
        <f aca="false">G24+G25</f>
        <v>352</v>
      </c>
      <c r="H26" s="35" t="n">
        <f aca="false">H24+H25</f>
        <v>295</v>
      </c>
      <c r="I26" s="35" t="n">
        <f aca="false">G26-H26</f>
        <v>57</v>
      </c>
      <c r="J26" s="36" t="n">
        <f aca="false">IFERROR(I26/ABS(H26),"")</f>
        <v>0.193220338983051</v>
      </c>
      <c r="K26" s="35" t="n">
        <f aca="false">K24+K25</f>
        <v>237</v>
      </c>
      <c r="L26" s="36" t="n">
        <f aca="false">IFERROR((G26-K26)/ABS(K26),"")</f>
        <v>0.485232067510549</v>
      </c>
      <c r="N26" s="35" t="n">
        <f aca="false">N24+N25</f>
        <v>540</v>
      </c>
      <c r="O26" s="36" t="n">
        <f aca="false">IFERROR(G26/N26,"")</f>
        <v>0.651851851851852</v>
      </c>
    </row>
    <row r="27" customFormat="false" ht="15" hidden="false" customHeight="false" outlineLevel="0" collapsed="false">
      <c r="A27" s="28" t="s">
        <v>105</v>
      </c>
      <c r="B27" s="29" t="n">
        <f aca="false">SUMIFS(Data!$E$6:$E$305,Data!$A$6:$A$305,"FY26 Actual",Data!$B$6:$B$305,$A27,Data!$C$6:$C$305,Data!$B$1)</f>
        <v>-10</v>
      </c>
      <c r="C27" s="29" t="n">
        <f aca="false">SUMIFS(Data!$E$6:$E$305,Data!$A$6:$A$305,"FY26 Budget",Data!$B$6:$B$305,$A27,Data!$C$6:$C$305,Data!$B$1)</f>
        <v>-8</v>
      </c>
      <c r="D27" s="29" t="n">
        <f aca="false">B27-C27</f>
        <v>-2</v>
      </c>
      <c r="E27" s="30" t="n">
        <f aca="false">IFERROR(D27/ABS(C27),"")</f>
        <v>-0.25</v>
      </c>
      <c r="G27" s="29" t="n">
        <f aca="false">SUMIFS(Data!$E$6:$E$305,Data!$A$6:$A$305,"FY26 Actual",Data!$B$6:$B$305,$A27,Data!$C$6:$C$305,"&lt;="&amp;Data!$B$1)</f>
        <v>-60</v>
      </c>
      <c r="H27" s="29" t="n">
        <f aca="false">SUMIFS(Data!$E$6:$E$305,Data!$A$6:$A$305,"FY26 Budget",Data!$B$6:$B$305,$A27,Data!$C$6:$C$305,"&lt;="&amp;Data!$B$1)</f>
        <v>-48</v>
      </c>
      <c r="I27" s="29" t="n">
        <f aca="false">G27-H27</f>
        <v>-12</v>
      </c>
      <c r="J27" s="30" t="n">
        <f aca="false">IFERROR(I27/ABS(H27),"")</f>
        <v>-0.25</v>
      </c>
      <c r="K27" s="29" t="n">
        <f aca="false">SUMIFS(Data!$E$6:$E$305,Data!$A$6:$A$305,"FY25 Actual",Data!$B$6:$B$305,$A27,Data!$C$6:$C$305,"&lt;="&amp;Data!$B$1)</f>
        <v>-36</v>
      </c>
      <c r="L27" s="30" t="n">
        <f aca="false">IFERROR((G27-K27)/ABS(K27),"")</f>
        <v>-0.666666666666667</v>
      </c>
      <c r="N27" s="29" t="n">
        <f aca="false">SUMIFS(Data!$E$6:$E$305,Data!$A$6:$A$305,"FY26 Budget",Data!$B$6:$B$305,$A27,Data!$C$6:$C$305,"&lt;=12")</f>
        <v>-92</v>
      </c>
      <c r="O27" s="30" t="n">
        <f aca="false">IFERROR(G27/N27,"")</f>
        <v>0.652173913043478</v>
      </c>
    </row>
    <row r="28" customFormat="false" ht="15" hidden="false" customHeight="false" outlineLevel="0" collapsed="false">
      <c r="A28" s="31" t="s">
        <v>106</v>
      </c>
      <c r="B28" s="32" t="n">
        <f aca="false">B26+B27</f>
        <v>-7</v>
      </c>
      <c r="C28" s="32" t="n">
        <f aca="false">C26+C27</f>
        <v>-16</v>
      </c>
      <c r="D28" s="32" t="n">
        <f aca="false">B28-C28</f>
        <v>9</v>
      </c>
      <c r="E28" s="33" t="n">
        <f aca="false">IFERROR(D28/ABS(C28),"")</f>
        <v>0.5625</v>
      </c>
      <c r="G28" s="32" t="n">
        <f aca="false">G26+G27</f>
        <v>292</v>
      </c>
      <c r="H28" s="32" t="n">
        <f aca="false">H26+H27</f>
        <v>247</v>
      </c>
      <c r="I28" s="32" t="n">
        <f aca="false">G28-H28</f>
        <v>45</v>
      </c>
      <c r="J28" s="33" t="n">
        <f aca="false">IFERROR(I28/ABS(H28),"")</f>
        <v>0.182186234817814</v>
      </c>
      <c r="K28" s="32" t="n">
        <f aca="false">K26+K27</f>
        <v>201</v>
      </c>
      <c r="L28" s="33" t="n">
        <f aca="false">IFERROR((G28-K28)/ABS(K28),"")</f>
        <v>0.45273631840796</v>
      </c>
      <c r="N28" s="32" t="n">
        <f aca="false">N26+N27</f>
        <v>448</v>
      </c>
      <c r="O28" s="33" t="n">
        <f aca="false">IFERROR(G28/N28,"")</f>
        <v>0.651785714285714</v>
      </c>
    </row>
    <row r="29" customFormat="false" ht="15" hidden="false" customHeight="false" outlineLevel="0" collapsed="false">
      <c r="A29" s="37" t="s">
        <v>107</v>
      </c>
      <c r="B29" s="38" t="n">
        <f aca="false">IFERROR(B28/B9,"")</f>
        <v>-0.00893997445721584</v>
      </c>
      <c r="C29" s="38" t="n">
        <f aca="false">IFERROR(C28/C9,"")</f>
        <v>-0.0210249671484888</v>
      </c>
      <c r="D29" s="39" t="n">
        <f aca="false">IFERROR((B29-C29)*100,"")</f>
        <v>1.2084992691273</v>
      </c>
      <c r="G29" s="38" t="n">
        <f aca="false">IFERROR(G28/G9,"")</f>
        <v>0.0499828825744608</v>
      </c>
      <c r="H29" s="38" t="n">
        <f aca="false">IFERROR(H28/H9,"")</f>
        <v>0.043554928584024</v>
      </c>
      <c r="I29" s="39" t="n">
        <f aca="false">IFERROR((G29-H29)*100,"")</f>
        <v>0.642795399043682</v>
      </c>
      <c r="K29" s="38" t="n">
        <f aca="false">IFERROR(K28/K9,"")</f>
        <v>0.0400717703349282</v>
      </c>
      <c r="L29" s="39" t="n">
        <f aca="false">IFERROR((G29-K29)*100,"")</f>
        <v>0.991111223953257</v>
      </c>
      <c r="N29" s="38" t="n">
        <f aca="false">IFERROR(N28/N9,"")</f>
        <v>0.0412523020257827</v>
      </c>
    </row>
    <row r="31" customFormat="false" ht="15" hidden="false" customHeight="false" outlineLevel="0" collapsed="false">
      <c r="A31" s="26" t="s">
        <v>108</v>
      </c>
    </row>
  </sheetData>
  <mergeCells count="3">
    <mergeCell ref="B5:E5"/>
    <mergeCell ref="G5:L5"/>
    <mergeCell ref="N5:O5"/>
  </mergeCells>
  <printOptions headings="false" gridLines="false" gridLinesSet="true" horizontalCentered="true" verticalCentered="false"/>
  <pageMargins left="0.3" right="0.3" top="0.4" bottom="0.4"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2293F"/>
    <pageSetUpPr fitToPage="true"/>
  </sheetPr>
  <dimension ref="A1:G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5" min="2" style="0" width="13"/>
    <col collapsed="false" customWidth="true" hidden="false" outlineLevel="0" max="7" min="6" style="0" width="14"/>
  </cols>
  <sheetData>
    <row r="1" customFormat="false" ht="21.75" hidden="false" customHeight="true" outlineLevel="0" collapsed="false">
      <c r="A1" s="12" t="s">
        <v>109</v>
      </c>
    </row>
    <row r="2" customFormat="false" ht="13.5" hidden="false" customHeight="true" outlineLevel="0" collapsed="false">
      <c r="A2" s="13" t="s">
        <v>110</v>
      </c>
    </row>
    <row r="3" customFormat="false" ht="3.75" hidden="false" customHeight="true" outlineLevel="0" collapsed="false">
      <c r="A3" s="5"/>
      <c r="B3" s="5"/>
      <c r="C3" s="5"/>
      <c r="D3" s="5"/>
      <c r="E3" s="5"/>
      <c r="F3" s="5"/>
    </row>
    <row r="5" customFormat="false" ht="24" hidden="false" customHeight="true" outlineLevel="0" collapsed="false">
      <c r="A5" s="21" t="s">
        <v>80</v>
      </c>
      <c r="B5" s="21" t="s">
        <v>111</v>
      </c>
      <c r="C5" s="21" t="s">
        <v>112</v>
      </c>
      <c r="D5" s="21" t="s">
        <v>113</v>
      </c>
      <c r="E5" s="21" t="s">
        <v>114</v>
      </c>
      <c r="F5" s="21" t="s">
        <v>115</v>
      </c>
    </row>
    <row r="6" customFormat="false" ht="15" hidden="false" customHeight="false" outlineLevel="0" collapsed="false">
      <c r="A6" s="40" t="s">
        <v>116</v>
      </c>
      <c r="B6" s="41"/>
      <c r="C6" s="41"/>
      <c r="D6" s="41"/>
      <c r="E6" s="41"/>
      <c r="F6" s="41"/>
    </row>
    <row r="7" customFormat="false" ht="15" hidden="false" customHeight="false" outlineLevel="0" collapsed="false">
      <c r="A7" s="28" t="s">
        <v>117</v>
      </c>
      <c r="B7" s="42" t="n">
        <f aca="false">Data!$B$310</f>
        <v>654</v>
      </c>
      <c r="C7" s="42" t="n">
        <f aca="false">Data!$C$310</f>
        <v>640</v>
      </c>
      <c r="D7" s="29" t="n">
        <f aca="false">B7-C7</f>
        <v>14</v>
      </c>
      <c r="E7" s="42" t="n">
        <f aca="false">Data!$D$310</f>
        <v>615</v>
      </c>
      <c r="F7" s="29" t="n">
        <f aca="false">B7-E7</f>
        <v>39</v>
      </c>
    </row>
    <row r="8" customFormat="false" ht="15" hidden="false" customHeight="false" outlineLevel="0" collapsed="false">
      <c r="A8" s="28" t="s">
        <v>118</v>
      </c>
      <c r="B8" s="42" t="n">
        <f aca="false">Data!$B$311</f>
        <v>1247</v>
      </c>
      <c r="C8" s="42" t="n">
        <f aca="false">Data!$C$311</f>
        <v>1180</v>
      </c>
      <c r="D8" s="29" t="n">
        <f aca="false">B8-C8</f>
        <v>67</v>
      </c>
      <c r="E8" s="42" t="n">
        <f aca="false">Data!$D$311</f>
        <v>1095</v>
      </c>
      <c r="F8" s="29" t="n">
        <f aca="false">B8-E8</f>
        <v>152</v>
      </c>
    </row>
    <row r="9" customFormat="false" ht="15" hidden="false" customHeight="false" outlineLevel="0" collapsed="false">
      <c r="A9" s="28" t="s">
        <v>119</v>
      </c>
      <c r="B9" s="42" t="n">
        <f aca="false">Data!$B$312</f>
        <v>495</v>
      </c>
      <c r="C9" s="42" t="n">
        <f aca="false">Data!$C$312</f>
        <v>520</v>
      </c>
      <c r="D9" s="29" t="n">
        <f aca="false">B9-C9</f>
        <v>-25</v>
      </c>
      <c r="E9" s="42" t="n">
        <f aca="false">Data!$D$312</f>
        <v>560</v>
      </c>
      <c r="F9" s="29" t="n">
        <f aca="false">B9-E9</f>
        <v>-65</v>
      </c>
    </row>
    <row r="10" customFormat="false" ht="15" hidden="false" customHeight="false" outlineLevel="0" collapsed="false">
      <c r="A10" s="28" t="s">
        <v>120</v>
      </c>
      <c r="B10" s="42" t="n">
        <f aca="false">Data!$B$313</f>
        <v>85</v>
      </c>
      <c r="C10" s="42" t="n">
        <f aca="false">Data!$C$313</f>
        <v>85</v>
      </c>
      <c r="D10" s="29" t="n">
        <f aca="false">B10-C10</f>
        <v>0</v>
      </c>
      <c r="E10" s="42" t="n">
        <f aca="false">Data!$D$313</f>
        <v>78</v>
      </c>
      <c r="F10" s="29" t="n">
        <f aca="false">B10-E10</f>
        <v>7</v>
      </c>
    </row>
    <row r="11" customFormat="false" ht="15" hidden="false" customHeight="false" outlineLevel="0" collapsed="false">
      <c r="A11" s="43" t="s">
        <v>121</v>
      </c>
      <c r="B11" s="35" t="n">
        <f aca="false">SUM(B7:B10)</f>
        <v>2481</v>
      </c>
      <c r="C11" s="35" t="n">
        <f aca="false">SUM(C7:C10)</f>
        <v>2425</v>
      </c>
      <c r="D11" s="35" t="n">
        <f aca="false">SUM(D7:D10)</f>
        <v>56</v>
      </c>
      <c r="E11" s="35" t="n">
        <f aca="false">SUM(E7:E10)</f>
        <v>2348</v>
      </c>
      <c r="F11" s="35" t="n">
        <f aca="false">SUM(F7:F10)</f>
        <v>133</v>
      </c>
    </row>
    <row r="12" customFormat="false" ht="15" hidden="false" customHeight="false" outlineLevel="0" collapsed="false">
      <c r="A12" s="40" t="s">
        <v>122</v>
      </c>
      <c r="B12" s="41"/>
      <c r="C12" s="41"/>
      <c r="D12" s="41"/>
      <c r="E12" s="41"/>
      <c r="F12" s="41"/>
    </row>
    <row r="13" customFormat="false" ht="15" hidden="false" customHeight="false" outlineLevel="0" collapsed="false">
      <c r="A13" s="28" t="s">
        <v>123</v>
      </c>
      <c r="B13" s="42" t="n">
        <f aca="false">Data!$B$314</f>
        <v>2040</v>
      </c>
      <c r="C13" s="42" t="n">
        <f aca="false">Data!$C$314</f>
        <v>1845</v>
      </c>
      <c r="D13" s="29" t="n">
        <f aca="false">B13-C13</f>
        <v>195</v>
      </c>
      <c r="E13" s="42" t="n">
        <f aca="false">Data!$D$314</f>
        <v>1720</v>
      </c>
      <c r="F13" s="29" t="n">
        <f aca="false">B13-E13</f>
        <v>320</v>
      </c>
    </row>
    <row r="14" customFormat="false" ht="15" hidden="false" customHeight="false" outlineLevel="0" collapsed="false">
      <c r="A14" s="28" t="s">
        <v>124</v>
      </c>
      <c r="B14" s="42" t="n">
        <f aca="false">Data!$B$315</f>
        <v>2455</v>
      </c>
      <c r="C14" s="42" t="n">
        <f aca="false">Data!$C$315</f>
        <v>2210</v>
      </c>
      <c r="D14" s="29" t="n">
        <f aca="false">B14-C14</f>
        <v>245</v>
      </c>
      <c r="E14" s="42" t="n">
        <f aca="false">Data!$D$315</f>
        <v>2090</v>
      </c>
      <c r="F14" s="29" t="n">
        <f aca="false">B14-E14</f>
        <v>365</v>
      </c>
    </row>
    <row r="15" customFormat="false" ht="15" hidden="false" customHeight="false" outlineLevel="0" collapsed="false">
      <c r="A15" s="28" t="s">
        <v>125</v>
      </c>
      <c r="B15" s="42" t="n">
        <f aca="false">Data!$B$316</f>
        <v>320</v>
      </c>
      <c r="C15" s="42" t="n">
        <f aca="false">Data!$C$316</f>
        <v>285</v>
      </c>
      <c r="D15" s="29" t="n">
        <f aca="false">B15-C15</f>
        <v>35</v>
      </c>
      <c r="E15" s="42" t="n">
        <f aca="false">Data!$D$316</f>
        <v>255</v>
      </c>
      <c r="F15" s="29" t="n">
        <f aca="false">B15-E15</f>
        <v>65</v>
      </c>
    </row>
    <row r="16" customFormat="false" ht="15" hidden="false" customHeight="false" outlineLevel="0" collapsed="false">
      <c r="A16" s="28" t="s">
        <v>126</v>
      </c>
      <c r="B16" s="42" t="n">
        <f aca="false">Data!$B$317</f>
        <v>365</v>
      </c>
      <c r="C16" s="42" t="n">
        <f aca="false">Data!$C$317</f>
        <v>615</v>
      </c>
      <c r="D16" s="29" t="n">
        <f aca="false">B16-C16</f>
        <v>-250</v>
      </c>
      <c r="E16" s="42" t="n">
        <f aca="false">Data!$D$317</f>
        <v>640</v>
      </c>
      <c r="F16" s="29" t="n">
        <f aca="false">B16-E16</f>
        <v>-275</v>
      </c>
    </row>
    <row r="17" customFormat="false" ht="15" hidden="false" customHeight="false" outlineLevel="0" collapsed="false">
      <c r="A17" s="43" t="s">
        <v>127</v>
      </c>
      <c r="B17" s="35" t="n">
        <f aca="false">SUM(B13:B16)</f>
        <v>5180</v>
      </c>
      <c r="C17" s="35" t="n">
        <f aca="false">SUM(C13:C16)</f>
        <v>4955</v>
      </c>
      <c r="D17" s="35" t="n">
        <f aca="false">SUM(D13:D16)</f>
        <v>225</v>
      </c>
      <c r="E17" s="35" t="n">
        <f aca="false">SUM(E13:E16)</f>
        <v>4705</v>
      </c>
      <c r="F17" s="35" t="n">
        <f aca="false">SUM(F13:F16)</f>
        <v>475</v>
      </c>
    </row>
    <row r="18" customFormat="false" ht="15" hidden="false" customHeight="false" outlineLevel="0" collapsed="false">
      <c r="A18" s="44" t="s">
        <v>128</v>
      </c>
      <c r="B18" s="45" t="n">
        <f aca="false">B11+B17</f>
        <v>7661</v>
      </c>
      <c r="C18" s="45" t="n">
        <f aca="false">C11+C17</f>
        <v>7380</v>
      </c>
      <c r="D18" s="45" t="n">
        <f aca="false">D11+D17</f>
        <v>281</v>
      </c>
      <c r="E18" s="45" t="n">
        <f aca="false">E11+E17</f>
        <v>7053</v>
      </c>
      <c r="F18" s="45" t="n">
        <f aca="false">F11+F17</f>
        <v>608</v>
      </c>
    </row>
    <row r="19" customFormat="false" ht="15" hidden="false" customHeight="false" outlineLevel="0" collapsed="false">
      <c r="A19" s="40" t="s">
        <v>129</v>
      </c>
      <c r="B19" s="41"/>
      <c r="C19" s="41"/>
      <c r="D19" s="41"/>
      <c r="E19" s="41"/>
      <c r="F19" s="41"/>
    </row>
    <row r="20" customFormat="false" ht="15" hidden="false" customHeight="false" outlineLevel="0" collapsed="false">
      <c r="A20" s="28" t="s">
        <v>130</v>
      </c>
      <c r="B20" s="42" t="n">
        <f aca="false">Data!$B$318</f>
        <v>500</v>
      </c>
      <c r="C20" s="42" t="n">
        <f aca="false">Data!$C$318</f>
        <v>500</v>
      </c>
      <c r="D20" s="29" t="n">
        <f aca="false">B20-C20</f>
        <v>0</v>
      </c>
      <c r="E20" s="42" t="n">
        <f aca="false">Data!$D$318</f>
        <v>500</v>
      </c>
      <c r="F20" s="29" t="n">
        <f aca="false">B20-E20</f>
        <v>0</v>
      </c>
    </row>
    <row r="21" customFormat="false" ht="15" hidden="false" customHeight="false" outlineLevel="0" collapsed="false">
      <c r="A21" s="28" t="s">
        <v>131</v>
      </c>
      <c r="B21" s="42" t="n">
        <f aca="false">Data!$B$319</f>
        <v>2034</v>
      </c>
      <c r="C21" s="42" t="n">
        <f aca="false">Data!$C$319</f>
        <v>1742</v>
      </c>
      <c r="D21" s="29" t="n">
        <f aca="false">B21-C21</f>
        <v>292</v>
      </c>
      <c r="E21" s="42" t="n">
        <f aca="false">Data!$D$319</f>
        <v>1583</v>
      </c>
      <c r="F21" s="29" t="n">
        <f aca="false">B21-E21</f>
        <v>451</v>
      </c>
    </row>
    <row r="22" customFormat="false" ht="15" hidden="false" customHeight="false" outlineLevel="0" collapsed="false">
      <c r="A22" s="43" t="s">
        <v>132</v>
      </c>
      <c r="B22" s="35" t="n">
        <f aca="false">SUM(B20:B21)</f>
        <v>2534</v>
      </c>
      <c r="C22" s="35" t="n">
        <f aca="false">SUM(C20:C21)</f>
        <v>2242</v>
      </c>
      <c r="D22" s="35" t="n">
        <f aca="false">SUM(D20:D21)</f>
        <v>292</v>
      </c>
      <c r="E22" s="35" t="n">
        <f aca="false">SUM(E20:E21)</f>
        <v>2083</v>
      </c>
      <c r="F22" s="35" t="n">
        <f aca="false">SUM(F20:F21)</f>
        <v>451</v>
      </c>
    </row>
    <row r="23" customFormat="false" ht="15" hidden="false" customHeight="false" outlineLevel="0" collapsed="false">
      <c r="A23" s="40" t="s">
        <v>133</v>
      </c>
      <c r="B23" s="41"/>
      <c r="C23" s="41"/>
      <c r="D23" s="41"/>
      <c r="E23" s="41"/>
      <c r="F23" s="41"/>
    </row>
    <row r="24" customFormat="false" ht="15" hidden="false" customHeight="false" outlineLevel="0" collapsed="false">
      <c r="A24" s="28" t="s">
        <v>134</v>
      </c>
      <c r="B24" s="42" t="n">
        <f aca="false">Data!$B$320</f>
        <v>1200</v>
      </c>
      <c r="C24" s="42" t="n">
        <f aca="false">Data!$C$320</f>
        <v>1350</v>
      </c>
      <c r="D24" s="29" t="n">
        <f aca="false">B24-C24</f>
        <v>-150</v>
      </c>
      <c r="E24" s="42" t="n">
        <f aca="false">Data!$D$320</f>
        <v>1500</v>
      </c>
      <c r="F24" s="29" t="n">
        <f aca="false">B24-E24</f>
        <v>-300</v>
      </c>
    </row>
    <row r="25" customFormat="false" ht="15" hidden="false" customHeight="false" outlineLevel="0" collapsed="false">
      <c r="A25" s="28" t="s">
        <v>135</v>
      </c>
      <c r="B25" s="42" t="n">
        <f aca="false">Data!$B$321</f>
        <v>304</v>
      </c>
      <c r="C25" s="42" t="n">
        <f aca="false">Data!$C$321</f>
        <v>385</v>
      </c>
      <c r="D25" s="29" t="n">
        <f aca="false">B25-C25</f>
        <v>-81</v>
      </c>
      <c r="E25" s="42" t="n">
        <f aca="false">Data!$D$321</f>
        <v>420</v>
      </c>
      <c r="F25" s="29" t="n">
        <f aca="false">B25-E25</f>
        <v>-116</v>
      </c>
    </row>
    <row r="26" customFormat="false" ht="15" hidden="false" customHeight="false" outlineLevel="0" collapsed="false">
      <c r="A26" s="28" t="s">
        <v>136</v>
      </c>
      <c r="B26" s="42" t="n">
        <f aca="false">Data!$B$322</f>
        <v>95</v>
      </c>
      <c r="C26" s="42" t="n">
        <f aca="false">Data!$C$322</f>
        <v>95</v>
      </c>
      <c r="D26" s="29" t="n">
        <f aca="false">B26-C26</f>
        <v>0</v>
      </c>
      <c r="E26" s="42" t="n">
        <f aca="false">Data!$D$322</f>
        <v>88</v>
      </c>
      <c r="F26" s="29" t="n">
        <f aca="false">B26-E26</f>
        <v>7</v>
      </c>
    </row>
    <row r="27" customFormat="false" ht="15" hidden="false" customHeight="false" outlineLevel="0" collapsed="false">
      <c r="A27" s="43" t="s">
        <v>137</v>
      </c>
      <c r="B27" s="35" t="n">
        <f aca="false">SUM(B24:B26)</f>
        <v>1599</v>
      </c>
      <c r="C27" s="35" t="n">
        <f aca="false">SUM(C24:C26)</f>
        <v>1830</v>
      </c>
      <c r="D27" s="35" t="n">
        <f aca="false">SUM(D24:D26)</f>
        <v>-231</v>
      </c>
      <c r="E27" s="35" t="n">
        <f aca="false">SUM(E24:E26)</f>
        <v>2008</v>
      </c>
      <c r="F27" s="35" t="n">
        <f aca="false">SUM(F24:F26)</f>
        <v>-409</v>
      </c>
    </row>
    <row r="28" customFormat="false" ht="15" hidden="false" customHeight="false" outlineLevel="0" collapsed="false">
      <c r="A28" s="40" t="s">
        <v>138</v>
      </c>
      <c r="B28" s="41"/>
      <c r="C28" s="41"/>
      <c r="D28" s="41"/>
      <c r="E28" s="41"/>
      <c r="F28" s="41"/>
    </row>
    <row r="29" customFormat="false" ht="15" hidden="false" customHeight="false" outlineLevel="0" collapsed="false">
      <c r="A29" s="28" t="s">
        <v>139</v>
      </c>
      <c r="B29" s="42" t="n">
        <f aca="false">Data!$B$323</f>
        <v>2305</v>
      </c>
      <c r="C29" s="42" t="n">
        <f aca="false">Data!$C$323</f>
        <v>2148</v>
      </c>
      <c r="D29" s="29" t="n">
        <f aca="false">B29-C29</f>
        <v>157</v>
      </c>
      <c r="E29" s="42" t="n">
        <f aca="false">Data!$D$323</f>
        <v>1905</v>
      </c>
      <c r="F29" s="29" t="n">
        <f aca="false">B29-E29</f>
        <v>400</v>
      </c>
    </row>
    <row r="30" customFormat="false" ht="15" hidden="false" customHeight="false" outlineLevel="0" collapsed="false">
      <c r="A30" s="28" t="s">
        <v>140</v>
      </c>
      <c r="B30" s="42" t="n">
        <f aca="false">Data!$B$324</f>
        <v>688</v>
      </c>
      <c r="C30" s="42" t="n">
        <f aca="false">Data!$C$324</f>
        <v>620</v>
      </c>
      <c r="D30" s="29" t="n">
        <f aca="false">B30-C30</f>
        <v>68</v>
      </c>
      <c r="E30" s="42" t="n">
        <f aca="false">Data!$D$324</f>
        <v>545</v>
      </c>
      <c r="F30" s="29" t="n">
        <f aca="false">B30-E30</f>
        <v>143</v>
      </c>
    </row>
    <row r="31" customFormat="false" ht="15" hidden="false" customHeight="false" outlineLevel="0" collapsed="false">
      <c r="A31" s="28" t="s">
        <v>141</v>
      </c>
      <c r="B31" s="42" t="n">
        <f aca="false">Data!$B$325</f>
        <v>300</v>
      </c>
      <c r="C31" s="42" t="n">
        <f aca="false">Data!$C$325</f>
        <v>300</v>
      </c>
      <c r="D31" s="29" t="n">
        <f aca="false">B31-C31</f>
        <v>0</v>
      </c>
      <c r="E31" s="42" t="n">
        <f aca="false">Data!$D$325</f>
        <v>300</v>
      </c>
      <c r="F31" s="29" t="n">
        <f aca="false">B31-E31</f>
        <v>0</v>
      </c>
    </row>
    <row r="32" customFormat="false" ht="15" hidden="false" customHeight="false" outlineLevel="0" collapsed="false">
      <c r="A32" s="28" t="s">
        <v>142</v>
      </c>
      <c r="B32" s="42" t="n">
        <f aca="false">Data!$B$326</f>
        <v>150</v>
      </c>
      <c r="C32" s="42" t="n">
        <f aca="false">Data!$C$326</f>
        <v>145</v>
      </c>
      <c r="D32" s="29" t="n">
        <f aca="false">B32-C32</f>
        <v>5</v>
      </c>
      <c r="E32" s="42" t="n">
        <f aca="false">Data!$D$326</f>
        <v>140</v>
      </c>
      <c r="F32" s="29" t="n">
        <f aca="false">B32-E32</f>
        <v>10</v>
      </c>
    </row>
    <row r="33" customFormat="false" ht="15" hidden="false" customHeight="false" outlineLevel="0" collapsed="false">
      <c r="A33" s="28" t="s">
        <v>143</v>
      </c>
      <c r="B33" s="42" t="n">
        <f aca="false">Data!$B$327</f>
        <v>85</v>
      </c>
      <c r="C33" s="42" t="n">
        <f aca="false">Data!$C$327</f>
        <v>95</v>
      </c>
      <c r="D33" s="29" t="n">
        <f aca="false">B33-C33</f>
        <v>-10</v>
      </c>
      <c r="E33" s="42" t="n">
        <f aca="false">Data!$D$327</f>
        <v>72</v>
      </c>
      <c r="F33" s="29" t="n">
        <f aca="false">B33-E33</f>
        <v>13</v>
      </c>
    </row>
    <row r="34" customFormat="false" ht="15" hidden="false" customHeight="false" outlineLevel="0" collapsed="false">
      <c r="A34" s="43" t="s">
        <v>144</v>
      </c>
      <c r="B34" s="35" t="n">
        <f aca="false">SUM(B29:B33)</f>
        <v>3528</v>
      </c>
      <c r="C34" s="35" t="n">
        <f aca="false">SUM(C29:C33)</f>
        <v>3308</v>
      </c>
      <c r="D34" s="35" t="n">
        <f aca="false">SUM(D29:D33)</f>
        <v>220</v>
      </c>
      <c r="E34" s="35" t="n">
        <f aca="false">SUM(E29:E33)</f>
        <v>2962</v>
      </c>
      <c r="F34" s="35" t="n">
        <f aca="false">SUM(F29:F33)</f>
        <v>566</v>
      </c>
    </row>
    <row r="35" customFormat="false" ht="15" hidden="false" customHeight="false" outlineLevel="0" collapsed="false">
      <c r="A35" s="44" t="s">
        <v>145</v>
      </c>
      <c r="B35" s="45" t="n">
        <f aca="false">B22+B27+B34</f>
        <v>7661</v>
      </c>
      <c r="C35" s="45" t="n">
        <f aca="false">C22+C27+C34</f>
        <v>7380</v>
      </c>
      <c r="D35" s="45" t="n">
        <f aca="false">D22+D27+D34</f>
        <v>281</v>
      </c>
      <c r="E35" s="45" t="n">
        <f aca="false">E22+E27+E34</f>
        <v>7053</v>
      </c>
      <c r="F35" s="45" t="n">
        <f aca="false">F22+F27+F34</f>
        <v>608</v>
      </c>
    </row>
    <row r="37" customFormat="false" ht="15" hidden="false" customHeight="false" outlineLevel="0" collapsed="false">
      <c r="A37" s="9" t="s">
        <v>146</v>
      </c>
      <c r="B37" s="46" t="n">
        <f aca="false">B18-B35</f>
        <v>0</v>
      </c>
      <c r="C37" s="46" t="n">
        <f aca="false">C18-C35</f>
        <v>0</v>
      </c>
      <c r="D37" s="46" t="n">
        <f aca="false">D18-D35</f>
        <v>0</v>
      </c>
      <c r="E37" s="46" t="n">
        <f aca="false">E18-E35</f>
        <v>0</v>
      </c>
      <c r="F37" s="46" t="n">
        <f aca="false">F18-F35</f>
        <v>0</v>
      </c>
      <c r="G37" s="26" t="s">
        <v>147</v>
      </c>
    </row>
    <row r="39" customFormat="false" ht="15" hidden="false" customHeight="false" outlineLevel="0" collapsed="false">
      <c r="A39" s="26" t="s">
        <v>148</v>
      </c>
    </row>
  </sheetData>
  <printOptions headings="false" gridLines="false" gridLinesSet="true" horizontalCentered="true" verticalCentered="false"/>
  <pageMargins left="0.3" right="0.3" top="0.4" bottom="0.4"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2293F"/>
    <pageSetUpPr fitToPage="true"/>
  </sheetPr>
  <dimension ref="A1:C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8"/>
    <col collapsed="false" customWidth="true" hidden="false" outlineLevel="0" max="2" min="2" style="0" width="14"/>
    <col collapsed="false" customWidth="true" hidden="false" outlineLevel="0" max="3" min="3" style="0" width="46"/>
  </cols>
  <sheetData>
    <row r="1" customFormat="false" ht="21.75" hidden="false" customHeight="true" outlineLevel="0" collapsed="false">
      <c r="A1" s="12" t="s">
        <v>149</v>
      </c>
    </row>
    <row r="2" customFormat="false" ht="13.5" hidden="false" customHeight="true" outlineLevel="0" collapsed="false">
      <c r="A2" s="13" t="s">
        <v>150</v>
      </c>
    </row>
    <row r="3" customFormat="false" ht="3.75" hidden="false" customHeight="true" outlineLevel="0" collapsed="false">
      <c r="A3" s="5"/>
      <c r="B3" s="5"/>
      <c r="C3" s="5"/>
    </row>
    <row r="5" customFormat="false" ht="15" hidden="false" customHeight="false" outlineLevel="0" collapsed="false">
      <c r="A5" s="21" t="s">
        <v>80</v>
      </c>
      <c r="B5" s="21" t="s">
        <v>151</v>
      </c>
    </row>
    <row r="6" customFormat="false" ht="15" hidden="false" customHeight="false" outlineLevel="0" collapsed="false">
      <c r="A6" s="40" t="s">
        <v>152</v>
      </c>
      <c r="B6" s="41"/>
      <c r="C6" s="41"/>
    </row>
    <row r="7" customFormat="false" ht="15" hidden="false" customHeight="false" outlineLevel="0" collapsed="false">
      <c r="A7" s="28" t="s">
        <v>104</v>
      </c>
      <c r="B7" s="29" t="n">
        <f aca="false">'P&amp;L'!G26</f>
        <v>352</v>
      </c>
      <c r="C7" s="26" t="s">
        <v>153</v>
      </c>
    </row>
    <row r="8" customFormat="false" ht="15" hidden="false" customHeight="false" outlineLevel="0" collapsed="false">
      <c r="A8" s="28" t="s">
        <v>101</v>
      </c>
      <c r="B8" s="29" t="n">
        <f aca="false">-'P&amp;L'!G23</f>
        <v>129</v>
      </c>
      <c r="C8" s="26" t="s">
        <v>154</v>
      </c>
    </row>
    <row r="9" customFormat="false" ht="15" hidden="false" customHeight="false" outlineLevel="0" collapsed="false">
      <c r="A9" s="28" t="s">
        <v>103</v>
      </c>
      <c r="B9" s="29" t="n">
        <f aca="false">-'P&amp;L'!G25</f>
        <v>44</v>
      </c>
      <c r="C9" s="26" t="s">
        <v>155</v>
      </c>
    </row>
    <row r="10" customFormat="false" ht="15" hidden="false" customHeight="false" outlineLevel="0" collapsed="false">
      <c r="A10" s="43" t="s">
        <v>156</v>
      </c>
      <c r="B10" s="35" t="n">
        <f aca="false">SUM(B7:B9)</f>
        <v>525</v>
      </c>
      <c r="C10" s="26" t="s">
        <v>157</v>
      </c>
    </row>
    <row r="11" customFormat="false" ht="15" hidden="false" customHeight="false" outlineLevel="0" collapsed="false">
      <c r="A11" s="28" t="s">
        <v>158</v>
      </c>
      <c r="B11" s="29" t="n">
        <f aca="false">-(Data!$B$314-Data!$C$314)</f>
        <v>-195</v>
      </c>
    </row>
    <row r="12" customFormat="false" ht="15" hidden="false" customHeight="false" outlineLevel="0" collapsed="false">
      <c r="A12" s="28" t="s">
        <v>159</v>
      </c>
      <c r="B12" s="29" t="n">
        <f aca="false">-(Data!$B$315-Data!$C$315)</f>
        <v>-245</v>
      </c>
    </row>
    <row r="13" customFormat="false" ht="15" hidden="false" customHeight="false" outlineLevel="0" collapsed="false">
      <c r="A13" s="28" t="s">
        <v>160</v>
      </c>
      <c r="B13" s="29" t="n">
        <f aca="false">-(Data!$B$316-Data!$C$316)</f>
        <v>-35</v>
      </c>
    </row>
    <row r="14" customFormat="false" ht="15" hidden="false" customHeight="false" outlineLevel="0" collapsed="false">
      <c r="A14" s="28" t="s">
        <v>161</v>
      </c>
      <c r="B14" s="29" t="n">
        <f aca="false">(Data!$B$323-Data!$C$323)</f>
        <v>157</v>
      </c>
    </row>
    <row r="15" customFormat="false" ht="15" hidden="false" customHeight="false" outlineLevel="0" collapsed="false">
      <c r="A15" s="28" t="s">
        <v>162</v>
      </c>
      <c r="B15" s="29" t="n">
        <f aca="false">(Data!$B$324-Data!$C$324)</f>
        <v>68</v>
      </c>
    </row>
    <row r="16" customFormat="false" ht="15" hidden="false" customHeight="false" outlineLevel="0" collapsed="false">
      <c r="A16" s="43" t="s">
        <v>163</v>
      </c>
      <c r="B16" s="35" t="n">
        <f aca="false">SUM(B11:B15)</f>
        <v>-250</v>
      </c>
    </row>
    <row r="17" customFormat="false" ht="15" hidden="false" customHeight="false" outlineLevel="0" collapsed="false">
      <c r="A17" s="43" t="s">
        <v>164</v>
      </c>
      <c r="B17" s="35" t="n">
        <f aca="false">B10+B16</f>
        <v>275</v>
      </c>
    </row>
    <row r="18" customFormat="false" ht="15" hidden="false" customHeight="false" outlineLevel="0" collapsed="false">
      <c r="A18" s="28" t="s">
        <v>165</v>
      </c>
      <c r="B18" s="29" t="n">
        <f aca="false">Data!$B$336</f>
        <v>-44</v>
      </c>
    </row>
    <row r="19" customFormat="false" ht="15" hidden="false" customHeight="false" outlineLevel="0" collapsed="false">
      <c r="A19" s="28" t="s">
        <v>166</v>
      </c>
      <c r="B19" s="29" t="n">
        <f aca="false">Data!$B$335</f>
        <v>-70</v>
      </c>
    </row>
    <row r="20" customFormat="false" ht="15" hidden="false" customHeight="false" outlineLevel="0" collapsed="false">
      <c r="A20" s="43" t="s">
        <v>167</v>
      </c>
      <c r="B20" s="35" t="n">
        <f aca="false">B17+B18+B19</f>
        <v>161</v>
      </c>
    </row>
    <row r="22" customFormat="false" ht="15" hidden="false" customHeight="false" outlineLevel="0" collapsed="false">
      <c r="A22" s="40" t="s">
        <v>168</v>
      </c>
      <c r="B22" s="41"/>
      <c r="C22" s="41"/>
    </row>
    <row r="23" customFormat="false" ht="15" hidden="false" customHeight="false" outlineLevel="0" collapsed="false">
      <c r="A23" s="28" t="s">
        <v>169</v>
      </c>
      <c r="B23" s="29" t="n">
        <f aca="false">Data!$B$331</f>
        <v>-145</v>
      </c>
    </row>
    <row r="24" customFormat="false" ht="15" hidden="false" customHeight="false" outlineLevel="0" collapsed="false">
      <c r="A24" s="28" t="s">
        <v>170</v>
      </c>
      <c r="B24" s="29" t="n">
        <f aca="false">Data!$B$332</f>
        <v>-40</v>
      </c>
    </row>
    <row r="25" customFormat="false" ht="15" hidden="false" customHeight="false" outlineLevel="0" collapsed="false">
      <c r="A25" s="43" t="s">
        <v>171</v>
      </c>
      <c r="B25" s="35" t="n">
        <f aca="false">SUM(B23:B24)</f>
        <v>-185</v>
      </c>
    </row>
    <row r="27" customFormat="false" ht="15" hidden="false" customHeight="false" outlineLevel="0" collapsed="false">
      <c r="A27" s="40" t="s">
        <v>172</v>
      </c>
      <c r="B27" s="41"/>
      <c r="C27" s="41"/>
    </row>
    <row r="28" customFormat="false" ht="15" hidden="false" customHeight="false" outlineLevel="0" collapsed="false">
      <c r="A28" s="28" t="s">
        <v>173</v>
      </c>
      <c r="B28" s="29" t="n">
        <f aca="false">Data!$B$333</f>
        <v>-150</v>
      </c>
    </row>
    <row r="29" customFormat="false" ht="15" hidden="false" customHeight="false" outlineLevel="0" collapsed="false">
      <c r="A29" s="28" t="s">
        <v>174</v>
      </c>
      <c r="B29" s="29" t="n">
        <f aca="false">Data!$B$334</f>
        <v>-76</v>
      </c>
    </row>
    <row r="30" customFormat="false" ht="15" hidden="false" customHeight="false" outlineLevel="0" collapsed="false">
      <c r="A30" s="43" t="s">
        <v>175</v>
      </c>
      <c r="B30" s="35" t="n">
        <f aca="false">SUM(B28:B29)</f>
        <v>-226</v>
      </c>
    </row>
    <row r="32" customFormat="false" ht="15" hidden="false" customHeight="false" outlineLevel="0" collapsed="false">
      <c r="A32" s="43" t="s">
        <v>176</v>
      </c>
      <c r="B32" s="35" t="n">
        <f aca="false">B20+B25+B30</f>
        <v>-250</v>
      </c>
    </row>
    <row r="33" customFormat="false" ht="15" hidden="false" customHeight="false" outlineLevel="0" collapsed="false">
      <c r="A33" s="28" t="s">
        <v>177</v>
      </c>
      <c r="B33" s="29" t="n">
        <f aca="false">Data!$C$317</f>
        <v>615</v>
      </c>
    </row>
    <row r="34" customFormat="false" ht="15" hidden="false" customHeight="false" outlineLevel="0" collapsed="false">
      <c r="A34" s="47" t="s">
        <v>178</v>
      </c>
      <c r="B34" s="32" t="n">
        <f aca="false">B32+B33</f>
        <v>365</v>
      </c>
    </row>
    <row r="36" customFormat="false" ht="15" hidden="false" customHeight="false" outlineLevel="0" collapsed="false">
      <c r="A36" s="28" t="s">
        <v>179</v>
      </c>
      <c r="B36" s="29" t="n">
        <f aca="false">Data!$B$317</f>
        <v>365</v>
      </c>
    </row>
    <row r="37" customFormat="false" ht="15" hidden="false" customHeight="false" outlineLevel="0" collapsed="false">
      <c r="A37" s="43" t="s">
        <v>180</v>
      </c>
      <c r="B37" s="48" t="n">
        <f aca="false">B34-B36</f>
        <v>0</v>
      </c>
      <c r="C37" s="26" t="s">
        <v>147</v>
      </c>
    </row>
    <row r="39" customFormat="false" ht="15" hidden="false" customHeight="false" outlineLevel="0" collapsed="false">
      <c r="A39" s="26" t="s">
        <v>181</v>
      </c>
    </row>
  </sheetData>
  <printOptions headings="false" gridLines="false" gridLinesSet="true" horizontalCentered="true" verticalCentered="false"/>
  <pageMargins left="0.3" right="0.3" top="0.4" bottom="0.4"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8873B"/>
    <pageSetUpPr fitToPage="true"/>
  </sheetPr>
  <dimension ref="A1:F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2" min="2" style="0" width="14"/>
    <col collapsed="false" customWidth="true" hidden="false" outlineLevel="0" max="3" min="3" style="0" width="15"/>
    <col collapsed="false" customWidth="true" hidden="false" outlineLevel="0" max="4" min="4" style="0" width="14"/>
    <col collapsed="false" customWidth="true" hidden="false" outlineLevel="0" max="5" min="5" style="0" width="12"/>
    <col collapsed="false" customWidth="true" hidden="false" outlineLevel="0" max="6" min="6" style="0" width="52"/>
  </cols>
  <sheetData>
    <row r="1" customFormat="false" ht="21.75" hidden="false" customHeight="true" outlineLevel="0" collapsed="false">
      <c r="A1" s="12" t="s">
        <v>182</v>
      </c>
    </row>
    <row r="2" customFormat="false" ht="13.5" hidden="false" customHeight="true" outlineLevel="0" collapsed="false">
      <c r="A2" s="13" t="s">
        <v>183</v>
      </c>
    </row>
    <row r="3" customFormat="false" ht="3.75" hidden="false" customHeight="true" outlineLevel="0" collapsed="false">
      <c r="A3" s="5"/>
      <c r="B3" s="5"/>
      <c r="C3" s="5"/>
      <c r="D3" s="5"/>
      <c r="E3" s="5"/>
      <c r="F3" s="5"/>
    </row>
    <row r="5" customFormat="false" ht="24" hidden="false" customHeight="true" outlineLevel="0" collapsed="false">
      <c r="A5" s="21" t="s">
        <v>184</v>
      </c>
      <c r="B5" s="21" t="s">
        <v>151</v>
      </c>
      <c r="C5" s="21" t="s">
        <v>185</v>
      </c>
      <c r="D5" s="21" t="s">
        <v>186</v>
      </c>
      <c r="E5" s="21" t="s">
        <v>187</v>
      </c>
      <c r="F5" s="21" t="s">
        <v>188</v>
      </c>
    </row>
    <row r="6" customFormat="false" ht="15" hidden="false" customHeight="false" outlineLevel="0" collapsed="false">
      <c r="A6" s="40" t="s">
        <v>189</v>
      </c>
      <c r="B6" s="41"/>
      <c r="C6" s="41"/>
      <c r="D6" s="41"/>
      <c r="E6" s="41"/>
      <c r="F6" s="41"/>
    </row>
    <row r="7" customFormat="false" ht="15" hidden="false" customHeight="false" outlineLevel="0" collapsed="false">
      <c r="A7" s="28" t="s">
        <v>190</v>
      </c>
      <c r="B7" s="29" t="n">
        <f aca="false">'P&amp;L'!G9</f>
        <v>5842</v>
      </c>
      <c r="C7" s="29" t="n">
        <f aca="false">'P&amp;L'!H9</f>
        <v>5671</v>
      </c>
      <c r="D7" s="29" t="n">
        <f aca="false">'P&amp;L'!K9</f>
        <v>5016</v>
      </c>
      <c r="E7" s="29" t="n">
        <f aca="false">'P&amp;L'!G9-'P&amp;L'!H9</f>
        <v>171</v>
      </c>
      <c r="F7" s="26" t="s">
        <v>191</v>
      </c>
    </row>
    <row r="8" customFormat="false" ht="15" hidden="false" customHeight="false" outlineLevel="0" collapsed="false">
      <c r="A8" s="28" t="s">
        <v>192</v>
      </c>
      <c r="B8" s="30" t="n">
        <f aca="false">IFERROR('P&amp;L'!G9/'P&amp;L'!K9-1,"")</f>
        <v>0.164673046251994</v>
      </c>
      <c r="F8" s="26" t="s">
        <v>193</v>
      </c>
    </row>
    <row r="9" customFormat="false" ht="15" hidden="false" customHeight="false" outlineLevel="0" collapsed="false">
      <c r="A9" s="28" t="s">
        <v>194</v>
      </c>
      <c r="B9" s="30" t="n">
        <f aca="false">IFERROR('P&amp;L'!G11/'P&amp;L'!G9,"")</f>
        <v>0.453954125299555</v>
      </c>
      <c r="C9" s="30" t="n">
        <f aca="false">IFERROR('P&amp;L'!H11/'P&amp;L'!H9,"")</f>
        <v>0.467995062599189</v>
      </c>
      <c r="D9" s="30" t="n">
        <f aca="false">IFERROR('P&amp;L'!K11/'P&amp;L'!K9,"")</f>
        <v>0.459928229665072</v>
      </c>
      <c r="E9" s="49" t="n">
        <f aca="false">IFERROR(('P&amp;L'!G11/'P&amp;L'!G9-'P&amp;L'!H11/'P&amp;L'!H9)*100,"")</f>
        <v>-1.4040937299634</v>
      </c>
      <c r="F9" s="26" t="s">
        <v>195</v>
      </c>
    </row>
    <row r="10" customFormat="false" ht="15" hidden="false" customHeight="false" outlineLevel="0" collapsed="false">
      <c r="A10" s="28" t="s">
        <v>196</v>
      </c>
      <c r="B10" s="29" t="n">
        <f aca="false">'P&amp;L'!G20</f>
        <v>525</v>
      </c>
      <c r="C10" s="29" t="n">
        <f aca="false">'P&amp;L'!H20</f>
        <v>463</v>
      </c>
      <c r="D10" s="29" t="n">
        <f aca="false">'P&amp;L'!K20</f>
        <v>399</v>
      </c>
      <c r="E10" s="29" t="n">
        <f aca="false">'P&amp;L'!G20-'P&amp;L'!H20</f>
        <v>62</v>
      </c>
      <c r="F10" s="26" t="s">
        <v>197</v>
      </c>
    </row>
    <row r="11" customFormat="false" ht="15" hidden="false" customHeight="false" outlineLevel="0" collapsed="false">
      <c r="A11" s="28" t="s">
        <v>198</v>
      </c>
      <c r="B11" s="30" t="n">
        <f aca="false">IFERROR('P&amp;L'!G20/'P&amp;L'!G9,"")</f>
        <v>0.0898664840807942</v>
      </c>
      <c r="C11" s="30" t="n">
        <f aca="false">IFERROR('P&amp;L'!H20/'P&amp;L'!H9,"")</f>
        <v>0.0816434491271381</v>
      </c>
      <c r="D11" s="30" t="n">
        <f aca="false">IFERROR('P&amp;L'!K20/'P&amp;L'!K9,"")</f>
        <v>0.0795454545454545</v>
      </c>
      <c r="E11" s="49" t="n">
        <f aca="false">IFERROR(('P&amp;L'!G20/'P&amp;L'!G9-'P&amp;L'!H20/'P&amp;L'!H9)*100,"")</f>
        <v>0.822303495365617</v>
      </c>
      <c r="F11" s="26" t="s">
        <v>199</v>
      </c>
    </row>
    <row r="12" customFormat="false" ht="15" hidden="false" customHeight="false" outlineLevel="0" collapsed="false">
      <c r="A12" s="28" t="s">
        <v>200</v>
      </c>
      <c r="B12" s="30" t="n">
        <f aca="false">IFERROR(-'P&amp;L'!G18/'P&amp;L'!G9,"")</f>
        <v>0.364087641218761</v>
      </c>
      <c r="C12" s="30" t="n">
        <f aca="false">IFERROR(-'P&amp;L'!H18/'P&amp;L'!H9,"")</f>
        <v>0.386351613472051</v>
      </c>
      <c r="D12" s="30" t="n">
        <f aca="false">IFERROR(-'P&amp;L'!K18/'P&amp;L'!K9,"")</f>
        <v>0.380382775119617</v>
      </c>
      <c r="F12" s="26" t="s">
        <v>201</v>
      </c>
    </row>
    <row r="13" customFormat="false" ht="15" hidden="false" customHeight="false" outlineLevel="0" collapsed="false">
      <c r="A13" s="40" t="s">
        <v>202</v>
      </c>
      <c r="B13" s="41"/>
      <c r="C13" s="41"/>
      <c r="D13" s="41"/>
      <c r="E13" s="41"/>
      <c r="F13" s="41"/>
    </row>
    <row r="14" customFormat="false" ht="15" hidden="false" customHeight="false" outlineLevel="0" collapsed="false">
      <c r="A14" s="28" t="s">
        <v>203</v>
      </c>
      <c r="B14" s="50" t="n">
        <f aca="false">IFERROR(Data!$B$315/('P&amp;L'!G9/Data!$B$3),"")</f>
        <v>76.0621362547073</v>
      </c>
      <c r="C14" s="50" t="n">
        <f aca="false">Data!$B$340</f>
        <v>72</v>
      </c>
      <c r="D14" s="50" t="n">
        <f aca="false">IFERROR(Data!$D$315/('P&amp;L'!K9/Data!$B$3),"")</f>
        <v>75.4166666666667</v>
      </c>
      <c r="E14" s="50" t="n">
        <f aca="false">IFERROR(Data!$B$315/('P&amp;L'!G9/Data!$B$3)-Data!$B$340,"")</f>
        <v>4.0621362547073</v>
      </c>
      <c r="F14" s="26" t="s">
        <v>204</v>
      </c>
    </row>
    <row r="15" customFormat="false" ht="15" hidden="false" customHeight="false" outlineLevel="0" collapsed="false">
      <c r="A15" s="28" t="s">
        <v>205</v>
      </c>
      <c r="B15" s="50" t="n">
        <f aca="false">IFERROR(Data!$B$314/(-'P&amp;L'!G10/Data!$B$3),"")</f>
        <v>115.74921630094</v>
      </c>
      <c r="C15" s="50" t="n">
        <f aca="false">Data!$B$341</f>
        <v>108</v>
      </c>
      <c r="D15" s="50" t="n">
        <f aca="false">IFERROR(Data!$D$314/(-'P&amp;L'!K10/Data!$B$3),"")</f>
        <v>114.920634920635</v>
      </c>
      <c r="E15" s="50" t="n">
        <f aca="false">IFERROR(Data!$B$314/(-'P&amp;L'!G10/Data!$B$3)-Data!$B$341,"")</f>
        <v>7.74921630094045</v>
      </c>
      <c r="F15" s="26" t="s">
        <v>206</v>
      </c>
    </row>
    <row r="16" customFormat="false" ht="15" hidden="false" customHeight="false" outlineLevel="0" collapsed="false">
      <c r="A16" s="28" t="s">
        <v>207</v>
      </c>
      <c r="B16" s="50" t="n">
        <f aca="false">IFERROR(Data!$B$323/(-'P&amp;L'!G10/Data!$B$3),"")</f>
        <v>130.78526645768</v>
      </c>
      <c r="C16" s="50" t="n">
        <f aca="false">Data!$B$342</f>
        <v>128</v>
      </c>
      <c r="D16" s="50" t="n">
        <f aca="false">IFERROR(Data!$D$323/(-'P&amp;L'!K10/Data!$B$3),"")</f>
        <v>127.281284606866</v>
      </c>
      <c r="E16" s="50" t="n">
        <f aca="false">IFERROR(Data!$B$323/(-'P&amp;L'!G10/Data!$B$3)-Data!$B$342,"")</f>
        <v>2.78526645768025</v>
      </c>
      <c r="F16" s="26" t="s">
        <v>208</v>
      </c>
    </row>
    <row r="17" customFormat="false" ht="15" hidden="false" customHeight="false" outlineLevel="0" collapsed="false">
      <c r="A17" s="28" t="s">
        <v>209</v>
      </c>
      <c r="B17" s="50" t="n">
        <f aca="false">B14+B15-B16</f>
        <v>61.0260860979675</v>
      </c>
      <c r="C17" s="50" t="n">
        <f aca="false">C14+C15-C16</f>
        <v>52</v>
      </c>
      <c r="D17" s="50" t="n">
        <f aca="false">D14+D15-D16</f>
        <v>63.0560169804356</v>
      </c>
      <c r="E17" s="50" t="n">
        <f aca="false">(B14+B15-B16)-(C14+C15-C16)</f>
        <v>9.02608609796749</v>
      </c>
      <c r="F17" s="26" t="s">
        <v>210</v>
      </c>
    </row>
    <row r="18" customFormat="false" ht="15" hidden="false" customHeight="false" outlineLevel="0" collapsed="false">
      <c r="A18" s="40" t="s">
        <v>211</v>
      </c>
      <c r="B18" s="41"/>
      <c r="C18" s="41"/>
      <c r="D18" s="41"/>
      <c r="E18" s="41"/>
      <c r="F18" s="41"/>
    </row>
    <row r="19" customFormat="false" ht="15" hidden="false" customHeight="false" outlineLevel="0" collapsed="false">
      <c r="A19" s="28" t="s">
        <v>212</v>
      </c>
      <c r="B19" s="29" t="n">
        <f aca="false">(SUMIFS(Data!$E$6:$E$305,Data!$A$6:$A$305,"FY25 Actual",Data!$B$6:$B$305,"Gross sales",Data!$C$6:$C$305,"&lt;=12")+SUMIFS(Data!$E$6:$E$305,Data!$A$6:$A$305,"FY25 Actual",Data!$B$6:$B$305,"Trade discounts &amp; rebates",Data!$C$6:$C$305,"&lt;=12")+SUMIFS(Data!$E$6:$E$305,Data!$A$6:$A$305,"FY25 Actual",Data!$B$6:$B$305,"Cost of goods sold",Data!$C$6:$C$305,"&lt;=12")+SUMIFS(Data!$E$6:$E$305,Data!$A$6:$A$305,"FY25 Actual",Data!$B$6:$B$305,"Distribution &amp; logistics",Data!$C$6:$C$305,"&lt;=12")+SUMIFS(Data!$E$6:$E$305,Data!$A$6:$A$305,"FY25 Actual",Data!$B$6:$B$305,"Sales &amp; marketing",Data!$C$6:$C$305,"&lt;=12")+SUMIFS(Data!$E$6:$E$305,Data!$A$6:$A$305,"FY25 Actual",Data!$B$6:$B$305,"Personnel costs",Data!$C$6:$C$305,"&lt;=12")+SUMIFS(Data!$E$6:$E$305,Data!$A$6:$A$305,"FY25 Actual",Data!$B$6:$B$305,"Other operating expenses",Data!$C$6:$C$305,"&lt;=12"))-(SUMIFS(Data!$E$6:$E$305,Data!$A$6:$A$305,"FY25 Actual",Data!$B$6:$B$305,"Gross sales",Data!$C$6:$C$305,"&lt;="&amp;Data!$B$1)+SUMIFS(Data!$E$6:$E$305,Data!$A$6:$A$305,"FY25 Actual",Data!$B$6:$B$305,"Trade discounts &amp; rebates",Data!$C$6:$C$305,"&lt;="&amp;Data!$B$1)+SUMIFS(Data!$E$6:$E$305,Data!$A$6:$A$305,"FY25 Actual",Data!$B$6:$B$305,"Cost of goods sold",Data!$C$6:$C$305,"&lt;="&amp;Data!$B$1)+SUMIFS(Data!$E$6:$E$305,Data!$A$6:$A$305,"FY25 Actual",Data!$B$6:$B$305,"Distribution &amp; logistics",Data!$C$6:$C$305,"&lt;="&amp;Data!$B$1)+SUMIFS(Data!$E$6:$E$305,Data!$A$6:$A$305,"FY25 Actual",Data!$B$6:$B$305,"Sales &amp; marketing",Data!$C$6:$C$305,"&lt;="&amp;Data!$B$1)+SUMIFS(Data!$E$6:$E$305,Data!$A$6:$A$305,"FY25 Actual",Data!$B$6:$B$305,"Personnel costs",Data!$C$6:$C$305,"&lt;="&amp;Data!$B$1)+SUMIFS(Data!$E$6:$E$305,Data!$A$6:$A$305,"FY25 Actual",Data!$B$6:$B$305,"Other operating expenses",Data!$C$6:$C$305,"&lt;="&amp;Data!$B$1))+(SUMIFS(Data!$E$6:$E$305,Data!$A$6:$A$305,"FY26 Actual",Data!$B$6:$B$305,"Gross sales",Data!$C$6:$C$305,"&lt;="&amp;Data!$B$1)+SUMIFS(Data!$E$6:$E$305,Data!$A$6:$A$305,"FY26 Actual",Data!$B$6:$B$305,"Trade discounts &amp; rebates",Data!$C$6:$C$305,"&lt;="&amp;Data!$B$1)+SUMIFS(Data!$E$6:$E$305,Data!$A$6:$A$305,"FY26 Actual",Data!$B$6:$B$305,"Cost of goods sold",Data!$C$6:$C$305,"&lt;="&amp;Data!$B$1)+SUMIFS(Data!$E$6:$E$305,Data!$A$6:$A$305,"FY26 Actual",Data!$B$6:$B$305,"Distribution &amp; logistics",Data!$C$6:$C$305,"&lt;="&amp;Data!$B$1)+SUMIFS(Data!$E$6:$E$305,Data!$A$6:$A$305,"FY26 Actual",Data!$B$6:$B$305,"Sales &amp; marketing",Data!$C$6:$C$305,"&lt;="&amp;Data!$B$1)+SUMIFS(Data!$E$6:$E$305,Data!$A$6:$A$305,"FY26 Actual",Data!$B$6:$B$305,"Personnel costs",Data!$C$6:$C$305,"&lt;="&amp;Data!$B$1)+SUMIFS(Data!$E$6:$E$305,Data!$A$6:$A$305,"FY26 Actual",Data!$B$6:$B$305,"Other operating expenses",Data!$C$6:$C$305,"&lt;="&amp;Data!$B$1))</f>
        <v>876</v>
      </c>
      <c r="F19" s="26" t="s">
        <v>213</v>
      </c>
    </row>
    <row r="20" customFormat="false" ht="15" hidden="false" customHeight="false" outlineLevel="0" collapsed="false">
      <c r="A20" s="28" t="s">
        <v>214</v>
      </c>
      <c r="B20" s="29" t="n">
        <f aca="false">(Data!$B$320+Data!$B$325+Data!$B$321+Data!$B$326-Data!$B$317)</f>
        <v>1589</v>
      </c>
      <c r="D20" s="29" t="n">
        <f aca="false">(Data!$D$320+Data!$D$325+Data!$D$321+Data!$D$326-Data!$D$317)</f>
        <v>1720</v>
      </c>
      <c r="F20" s="26" t="s">
        <v>215</v>
      </c>
    </row>
    <row r="21" customFormat="false" ht="15" hidden="false" customHeight="false" outlineLevel="0" collapsed="false">
      <c r="A21" s="28" t="s">
        <v>216</v>
      </c>
      <c r="B21" s="51" t="n">
        <f aca="false">IFERROR(B20/B19,"")</f>
        <v>1.81392694063927</v>
      </c>
      <c r="C21" s="51" t="n">
        <f aca="false">Data!$B$343</f>
        <v>1.75</v>
      </c>
      <c r="E21" s="51" t="n">
        <f aca="false">IFERROR(B20/B19-Data!$B$343,"")</f>
        <v>0.0639269406392695</v>
      </c>
      <c r="F21" s="26" t="s">
        <v>217</v>
      </c>
    </row>
    <row r="22" customFormat="false" ht="15" hidden="false" customHeight="false" outlineLevel="0" collapsed="false">
      <c r="A22" s="28" t="s">
        <v>218</v>
      </c>
      <c r="B22" s="51" t="n">
        <f aca="false">IFERROR('Balance Sheet'!B17/'Balance Sheet'!B34,"")</f>
        <v>1.46825396825397</v>
      </c>
      <c r="C22" s="51" t="n">
        <f aca="false">Data!$B$344</f>
        <v>1.5</v>
      </c>
      <c r="D22" s="51" t="n">
        <f aca="false">IFERROR('Balance Sheet'!E17/'Balance Sheet'!E34,"")</f>
        <v>1.58845374746793</v>
      </c>
      <c r="E22" s="51" t="n">
        <f aca="false">IFERROR('Balance Sheet'!B17/'Balance Sheet'!B34-Data!$B$344,"")</f>
        <v>-0.0317460317460319</v>
      </c>
      <c r="F22" s="26" t="s">
        <v>219</v>
      </c>
    </row>
    <row r="23" customFormat="false" ht="15" hidden="false" customHeight="false" outlineLevel="0" collapsed="false">
      <c r="A23" s="28" t="s">
        <v>220</v>
      </c>
      <c r="B23" s="51" t="n">
        <f aca="false">IFERROR('P&amp;L'!G20/-'P&amp;L'!G25,"")</f>
        <v>11.9318181818182</v>
      </c>
      <c r="D23" s="51" t="n">
        <f aca="false">IFERROR('P&amp;L'!K20/-'P&amp;L'!K25,"")</f>
        <v>9.5</v>
      </c>
      <c r="F23" s="26" t="s">
        <v>221</v>
      </c>
    </row>
  </sheetData>
  <printOptions headings="false" gridLines="false" gridLinesSet="true" horizontalCentered="true" verticalCentered="false"/>
  <pageMargins left="0.3" right="0.3" top="0.4" bottom="0.4"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AA5B1"/>
    <pageSetUpPr fitToPage="false"/>
  </sheetPr>
  <dimension ref="A1:E35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3" min="2" style="0" width="16"/>
    <col collapsed="false" customWidth="true" hidden="false" outlineLevel="0" max="4" min="4" style="0" width="22"/>
    <col collapsed="false" customWidth="true" hidden="false" outlineLevel="0" max="5" min="5" style="0" width="18"/>
  </cols>
  <sheetData>
    <row r="1" customFormat="false" ht="15" hidden="false" customHeight="false" outlineLevel="0" collapsed="false">
      <c r="A1" s="9" t="s">
        <v>222</v>
      </c>
      <c r="B1" s="52" t="n">
        <v>6</v>
      </c>
      <c r="C1" s="26" t="s">
        <v>223</v>
      </c>
    </row>
    <row r="2" customFormat="false" ht="15" hidden="false" customHeight="false" outlineLevel="0" collapsed="false">
      <c r="A2" s="9" t="s">
        <v>224</v>
      </c>
      <c r="B2" s="52" t="s">
        <v>225</v>
      </c>
    </row>
    <row r="3" customFormat="false" ht="15" hidden="false" customHeight="false" outlineLevel="0" collapsed="false">
      <c r="A3" s="9" t="s">
        <v>226</v>
      </c>
      <c r="B3" s="52" t="n">
        <v>181</v>
      </c>
      <c r="C3" s="26" t="s">
        <v>227</v>
      </c>
    </row>
    <row r="5" customFormat="false" ht="15" hidden="false" customHeight="false" outlineLevel="0" collapsed="false">
      <c r="A5" s="21" t="s">
        <v>228</v>
      </c>
      <c r="B5" s="21" t="s">
        <v>229</v>
      </c>
      <c r="C5" s="21" t="s">
        <v>230</v>
      </c>
      <c r="D5" s="21" t="s">
        <v>231</v>
      </c>
      <c r="E5" s="21" t="s">
        <v>232</v>
      </c>
    </row>
    <row r="6" customFormat="false" ht="15" hidden="false" customHeight="false" outlineLevel="0" collapsed="false">
      <c r="A6" s="53" t="s">
        <v>233</v>
      </c>
      <c r="B6" s="53" t="s">
        <v>88</v>
      </c>
      <c r="C6" s="53" t="n">
        <v>1</v>
      </c>
      <c r="D6" s="53" t="s">
        <v>234</v>
      </c>
      <c r="E6" s="54" t="n">
        <v>1139</v>
      </c>
    </row>
    <row r="7" customFormat="false" ht="15" hidden="false" customHeight="false" outlineLevel="0" collapsed="false">
      <c r="A7" s="53" t="s">
        <v>233</v>
      </c>
      <c r="B7" s="53" t="s">
        <v>88</v>
      </c>
      <c r="C7" s="53" t="n">
        <v>2</v>
      </c>
      <c r="D7" s="53" t="s">
        <v>235</v>
      </c>
      <c r="E7" s="54" t="n">
        <v>1031</v>
      </c>
    </row>
    <row r="8" customFormat="false" ht="15" hidden="false" customHeight="false" outlineLevel="0" collapsed="false">
      <c r="A8" s="53" t="s">
        <v>233</v>
      </c>
      <c r="B8" s="53" t="s">
        <v>88</v>
      </c>
      <c r="C8" s="53" t="n">
        <v>3</v>
      </c>
      <c r="D8" s="53" t="s">
        <v>236</v>
      </c>
      <c r="E8" s="54" t="n">
        <v>998</v>
      </c>
    </row>
    <row r="9" customFormat="false" ht="15" hidden="false" customHeight="false" outlineLevel="0" collapsed="false">
      <c r="A9" s="53" t="s">
        <v>233</v>
      </c>
      <c r="B9" s="53" t="s">
        <v>88</v>
      </c>
      <c r="C9" s="53" t="n">
        <v>4</v>
      </c>
      <c r="D9" s="53" t="s">
        <v>237</v>
      </c>
      <c r="E9" s="54" t="n">
        <v>890</v>
      </c>
    </row>
    <row r="10" customFormat="false" ht="15" hidden="false" customHeight="false" outlineLevel="0" collapsed="false">
      <c r="A10" s="53" t="s">
        <v>233</v>
      </c>
      <c r="B10" s="53" t="s">
        <v>88</v>
      </c>
      <c r="C10" s="53" t="n">
        <v>5</v>
      </c>
      <c r="D10" s="53" t="s">
        <v>238</v>
      </c>
      <c r="E10" s="54" t="n">
        <v>846</v>
      </c>
    </row>
    <row r="11" customFormat="false" ht="15" hidden="false" customHeight="false" outlineLevel="0" collapsed="false">
      <c r="A11" s="53" t="s">
        <v>233</v>
      </c>
      <c r="B11" s="53" t="s">
        <v>88</v>
      </c>
      <c r="C11" s="53" t="n">
        <v>6</v>
      </c>
      <c r="D11" s="53" t="s">
        <v>239</v>
      </c>
      <c r="E11" s="54" t="n">
        <v>760</v>
      </c>
    </row>
    <row r="12" customFormat="false" ht="15" hidden="false" customHeight="false" outlineLevel="0" collapsed="false">
      <c r="A12" s="53" t="s">
        <v>233</v>
      </c>
      <c r="B12" s="53" t="s">
        <v>88</v>
      </c>
      <c r="C12" s="53" t="n">
        <v>7</v>
      </c>
      <c r="D12" s="53" t="s">
        <v>240</v>
      </c>
      <c r="E12" s="54" t="n">
        <v>673</v>
      </c>
    </row>
    <row r="13" customFormat="false" ht="15" hidden="false" customHeight="false" outlineLevel="0" collapsed="false">
      <c r="A13" s="53" t="s">
        <v>233</v>
      </c>
      <c r="B13" s="53" t="s">
        <v>88</v>
      </c>
      <c r="C13" s="53" t="n">
        <v>8</v>
      </c>
      <c r="D13" s="53" t="s">
        <v>241</v>
      </c>
      <c r="E13" s="54" t="n">
        <v>673</v>
      </c>
    </row>
    <row r="14" customFormat="false" ht="15" hidden="false" customHeight="false" outlineLevel="0" collapsed="false">
      <c r="A14" s="53" t="s">
        <v>233</v>
      </c>
      <c r="B14" s="53" t="s">
        <v>88</v>
      </c>
      <c r="C14" s="53" t="n">
        <v>9</v>
      </c>
      <c r="D14" s="53" t="s">
        <v>242</v>
      </c>
      <c r="E14" s="54" t="n">
        <v>890</v>
      </c>
    </row>
    <row r="15" customFormat="false" ht="15" hidden="false" customHeight="false" outlineLevel="0" collapsed="false">
      <c r="A15" s="53" t="s">
        <v>233</v>
      </c>
      <c r="B15" s="53" t="s">
        <v>88</v>
      </c>
      <c r="C15" s="53" t="n">
        <v>10</v>
      </c>
      <c r="D15" s="53" t="s">
        <v>243</v>
      </c>
      <c r="E15" s="54" t="n">
        <v>1031</v>
      </c>
    </row>
    <row r="16" customFormat="false" ht="15" hidden="false" customHeight="false" outlineLevel="0" collapsed="false">
      <c r="A16" s="53" t="s">
        <v>233</v>
      </c>
      <c r="B16" s="53" t="s">
        <v>88</v>
      </c>
      <c r="C16" s="53" t="n">
        <v>11</v>
      </c>
      <c r="D16" s="53" t="s">
        <v>244</v>
      </c>
      <c r="E16" s="54" t="n">
        <v>1063</v>
      </c>
    </row>
    <row r="17" customFormat="false" ht="15" hidden="false" customHeight="false" outlineLevel="0" collapsed="false">
      <c r="A17" s="53" t="s">
        <v>233</v>
      </c>
      <c r="B17" s="53" t="s">
        <v>88</v>
      </c>
      <c r="C17" s="53" t="n">
        <v>12</v>
      </c>
      <c r="D17" s="53" t="s">
        <v>245</v>
      </c>
      <c r="E17" s="54" t="n">
        <v>856</v>
      </c>
    </row>
    <row r="18" customFormat="false" ht="15" hidden="false" customHeight="false" outlineLevel="0" collapsed="false">
      <c r="A18" s="53" t="s">
        <v>246</v>
      </c>
      <c r="B18" s="53" t="s">
        <v>88</v>
      </c>
      <c r="C18" s="53" t="n">
        <v>1</v>
      </c>
      <c r="D18" s="53" t="s">
        <v>234</v>
      </c>
      <c r="E18" s="54" t="n">
        <v>1279</v>
      </c>
    </row>
    <row r="19" customFormat="false" ht="15" hidden="false" customHeight="false" outlineLevel="0" collapsed="false">
      <c r="A19" s="53" t="s">
        <v>246</v>
      </c>
      <c r="B19" s="53" t="s">
        <v>88</v>
      </c>
      <c r="C19" s="53" t="n">
        <v>2</v>
      </c>
      <c r="D19" s="53" t="s">
        <v>235</v>
      </c>
      <c r="E19" s="54" t="n">
        <v>1157</v>
      </c>
    </row>
    <row r="20" customFormat="false" ht="15" hidden="false" customHeight="false" outlineLevel="0" collapsed="false">
      <c r="A20" s="53" t="s">
        <v>246</v>
      </c>
      <c r="B20" s="53" t="s">
        <v>88</v>
      </c>
      <c r="C20" s="53" t="n">
        <v>3</v>
      </c>
      <c r="D20" s="53" t="s">
        <v>236</v>
      </c>
      <c r="E20" s="54" t="n">
        <v>1121</v>
      </c>
    </row>
    <row r="21" customFormat="false" ht="15" hidden="false" customHeight="false" outlineLevel="0" collapsed="false">
      <c r="A21" s="53" t="s">
        <v>246</v>
      </c>
      <c r="B21" s="53" t="s">
        <v>88</v>
      </c>
      <c r="C21" s="53" t="n">
        <v>4</v>
      </c>
      <c r="D21" s="53" t="s">
        <v>237</v>
      </c>
      <c r="E21" s="54" t="n">
        <v>999</v>
      </c>
    </row>
    <row r="22" customFormat="false" ht="15" hidden="false" customHeight="false" outlineLevel="0" collapsed="false">
      <c r="A22" s="53" t="s">
        <v>246</v>
      </c>
      <c r="B22" s="53" t="s">
        <v>88</v>
      </c>
      <c r="C22" s="53" t="n">
        <v>5</v>
      </c>
      <c r="D22" s="53" t="s">
        <v>238</v>
      </c>
      <c r="E22" s="54" t="n">
        <v>950</v>
      </c>
    </row>
    <row r="23" customFormat="false" ht="15" hidden="false" customHeight="false" outlineLevel="0" collapsed="false">
      <c r="A23" s="53" t="s">
        <v>246</v>
      </c>
      <c r="B23" s="53" t="s">
        <v>88</v>
      </c>
      <c r="C23" s="53" t="n">
        <v>6</v>
      </c>
      <c r="D23" s="53" t="s">
        <v>239</v>
      </c>
      <c r="E23" s="54" t="n">
        <v>853</v>
      </c>
    </row>
    <row r="24" customFormat="false" ht="15" hidden="false" customHeight="false" outlineLevel="0" collapsed="false">
      <c r="A24" s="53" t="s">
        <v>246</v>
      </c>
      <c r="B24" s="53" t="s">
        <v>88</v>
      </c>
      <c r="C24" s="53" t="n">
        <v>7</v>
      </c>
      <c r="D24" s="53" t="s">
        <v>240</v>
      </c>
      <c r="E24" s="54" t="n">
        <v>755</v>
      </c>
    </row>
    <row r="25" customFormat="false" ht="15" hidden="false" customHeight="false" outlineLevel="0" collapsed="false">
      <c r="A25" s="53" t="s">
        <v>246</v>
      </c>
      <c r="B25" s="53" t="s">
        <v>88</v>
      </c>
      <c r="C25" s="53" t="n">
        <v>8</v>
      </c>
      <c r="D25" s="53" t="s">
        <v>241</v>
      </c>
      <c r="E25" s="54" t="n">
        <v>755</v>
      </c>
    </row>
    <row r="26" customFormat="false" ht="15" hidden="false" customHeight="false" outlineLevel="0" collapsed="false">
      <c r="A26" s="53" t="s">
        <v>246</v>
      </c>
      <c r="B26" s="53" t="s">
        <v>88</v>
      </c>
      <c r="C26" s="53" t="n">
        <v>9</v>
      </c>
      <c r="D26" s="53" t="s">
        <v>242</v>
      </c>
      <c r="E26" s="54" t="n">
        <v>999</v>
      </c>
    </row>
    <row r="27" customFormat="false" ht="15" hidden="false" customHeight="false" outlineLevel="0" collapsed="false">
      <c r="A27" s="53" t="s">
        <v>246</v>
      </c>
      <c r="B27" s="53" t="s">
        <v>88</v>
      </c>
      <c r="C27" s="53" t="n">
        <v>10</v>
      </c>
      <c r="D27" s="53" t="s">
        <v>243</v>
      </c>
      <c r="E27" s="54" t="n">
        <v>1157</v>
      </c>
    </row>
    <row r="28" customFormat="false" ht="15" hidden="false" customHeight="false" outlineLevel="0" collapsed="false">
      <c r="A28" s="53" t="s">
        <v>246</v>
      </c>
      <c r="B28" s="53" t="s">
        <v>88</v>
      </c>
      <c r="C28" s="53" t="n">
        <v>11</v>
      </c>
      <c r="D28" s="53" t="s">
        <v>244</v>
      </c>
      <c r="E28" s="54" t="n">
        <v>1194</v>
      </c>
    </row>
    <row r="29" customFormat="false" ht="15" hidden="false" customHeight="false" outlineLevel="0" collapsed="false">
      <c r="A29" s="53" t="s">
        <v>246</v>
      </c>
      <c r="B29" s="53" t="s">
        <v>88</v>
      </c>
      <c r="C29" s="53" t="n">
        <v>12</v>
      </c>
      <c r="D29" s="53" t="s">
        <v>245</v>
      </c>
      <c r="E29" s="54" t="n">
        <v>961</v>
      </c>
    </row>
    <row r="30" customFormat="false" ht="15" hidden="false" customHeight="false" outlineLevel="0" collapsed="false">
      <c r="A30" s="53" t="s">
        <v>247</v>
      </c>
      <c r="B30" s="53" t="s">
        <v>88</v>
      </c>
      <c r="C30" s="53" t="n">
        <v>1</v>
      </c>
      <c r="D30" s="53" t="s">
        <v>234</v>
      </c>
      <c r="E30" s="54" t="n">
        <v>1330</v>
      </c>
    </row>
    <row r="31" customFormat="false" ht="15" hidden="false" customHeight="false" outlineLevel="0" collapsed="false">
      <c r="A31" s="53" t="s">
        <v>247</v>
      </c>
      <c r="B31" s="53" t="s">
        <v>88</v>
      </c>
      <c r="C31" s="53" t="n">
        <v>2</v>
      </c>
      <c r="D31" s="53" t="s">
        <v>235</v>
      </c>
      <c r="E31" s="54" t="n">
        <v>1203</v>
      </c>
    </row>
    <row r="32" customFormat="false" ht="15" hidden="false" customHeight="false" outlineLevel="0" collapsed="false">
      <c r="A32" s="53" t="s">
        <v>247</v>
      </c>
      <c r="B32" s="53" t="s">
        <v>88</v>
      </c>
      <c r="C32" s="53" t="n">
        <v>3</v>
      </c>
      <c r="D32" s="53" t="s">
        <v>236</v>
      </c>
      <c r="E32" s="54" t="n">
        <v>1165</v>
      </c>
    </row>
    <row r="33" customFormat="false" ht="15" hidden="false" customHeight="false" outlineLevel="0" collapsed="false">
      <c r="A33" s="53" t="s">
        <v>247</v>
      </c>
      <c r="B33" s="53" t="s">
        <v>88</v>
      </c>
      <c r="C33" s="53" t="n">
        <v>4</v>
      </c>
      <c r="D33" s="53" t="s">
        <v>237</v>
      </c>
      <c r="E33" s="54" t="n">
        <v>1038</v>
      </c>
    </row>
    <row r="34" customFormat="false" ht="15" hidden="false" customHeight="false" outlineLevel="0" collapsed="false">
      <c r="A34" s="53" t="s">
        <v>247</v>
      </c>
      <c r="B34" s="53" t="s">
        <v>88</v>
      </c>
      <c r="C34" s="53" t="n">
        <v>5</v>
      </c>
      <c r="D34" s="53" t="s">
        <v>238</v>
      </c>
      <c r="E34" s="54" t="n">
        <v>988</v>
      </c>
    </row>
    <row r="35" customFormat="false" ht="15" hidden="false" customHeight="false" outlineLevel="0" collapsed="false">
      <c r="A35" s="53" t="s">
        <v>247</v>
      </c>
      <c r="B35" s="53" t="s">
        <v>88</v>
      </c>
      <c r="C35" s="53" t="n">
        <v>6</v>
      </c>
      <c r="D35" s="53" t="s">
        <v>239</v>
      </c>
      <c r="E35" s="54" t="n">
        <v>886</v>
      </c>
    </row>
    <row r="36" customFormat="false" ht="15" hidden="false" customHeight="false" outlineLevel="0" collapsed="false">
      <c r="A36" s="53" t="s">
        <v>233</v>
      </c>
      <c r="B36" s="53" t="s">
        <v>89</v>
      </c>
      <c r="C36" s="53" t="n">
        <v>1</v>
      </c>
      <c r="D36" s="53" t="s">
        <v>234</v>
      </c>
      <c r="E36" s="54" t="n">
        <v>-130</v>
      </c>
    </row>
    <row r="37" customFormat="false" ht="15" hidden="false" customHeight="false" outlineLevel="0" collapsed="false">
      <c r="A37" s="53" t="s">
        <v>233</v>
      </c>
      <c r="B37" s="53" t="s">
        <v>89</v>
      </c>
      <c r="C37" s="53" t="n">
        <v>2</v>
      </c>
      <c r="D37" s="53" t="s">
        <v>235</v>
      </c>
      <c r="E37" s="54" t="n">
        <v>-118</v>
      </c>
    </row>
    <row r="38" customFormat="false" ht="15" hidden="false" customHeight="false" outlineLevel="0" collapsed="false">
      <c r="A38" s="53" t="s">
        <v>233</v>
      </c>
      <c r="B38" s="53" t="s">
        <v>89</v>
      </c>
      <c r="C38" s="53" t="n">
        <v>3</v>
      </c>
      <c r="D38" s="53" t="s">
        <v>236</v>
      </c>
      <c r="E38" s="54" t="n">
        <v>-114</v>
      </c>
    </row>
    <row r="39" customFormat="false" ht="15" hidden="false" customHeight="false" outlineLevel="0" collapsed="false">
      <c r="A39" s="53" t="s">
        <v>233</v>
      </c>
      <c r="B39" s="53" t="s">
        <v>89</v>
      </c>
      <c r="C39" s="53" t="n">
        <v>4</v>
      </c>
      <c r="D39" s="53" t="s">
        <v>237</v>
      </c>
      <c r="E39" s="54" t="n">
        <v>-102</v>
      </c>
    </row>
    <row r="40" customFormat="false" ht="15" hidden="false" customHeight="false" outlineLevel="0" collapsed="false">
      <c r="A40" s="53" t="s">
        <v>233</v>
      </c>
      <c r="B40" s="53" t="s">
        <v>89</v>
      </c>
      <c r="C40" s="53" t="n">
        <v>5</v>
      </c>
      <c r="D40" s="53" t="s">
        <v>238</v>
      </c>
      <c r="E40" s="54" t="n">
        <v>-97</v>
      </c>
    </row>
    <row r="41" customFormat="false" ht="15" hidden="false" customHeight="false" outlineLevel="0" collapsed="false">
      <c r="A41" s="53" t="s">
        <v>233</v>
      </c>
      <c r="B41" s="53" t="s">
        <v>89</v>
      </c>
      <c r="C41" s="53" t="n">
        <v>6</v>
      </c>
      <c r="D41" s="53" t="s">
        <v>239</v>
      </c>
      <c r="E41" s="54" t="n">
        <v>-87</v>
      </c>
    </row>
    <row r="42" customFormat="false" ht="15" hidden="false" customHeight="false" outlineLevel="0" collapsed="false">
      <c r="A42" s="53" t="s">
        <v>233</v>
      </c>
      <c r="B42" s="53" t="s">
        <v>89</v>
      </c>
      <c r="C42" s="53" t="n">
        <v>7</v>
      </c>
      <c r="D42" s="53" t="s">
        <v>240</v>
      </c>
      <c r="E42" s="54" t="n">
        <v>-77</v>
      </c>
    </row>
    <row r="43" customFormat="false" ht="15" hidden="false" customHeight="false" outlineLevel="0" collapsed="false">
      <c r="A43" s="53" t="s">
        <v>233</v>
      </c>
      <c r="B43" s="53" t="s">
        <v>89</v>
      </c>
      <c r="C43" s="53" t="n">
        <v>8</v>
      </c>
      <c r="D43" s="53" t="s">
        <v>241</v>
      </c>
      <c r="E43" s="54" t="n">
        <v>-77</v>
      </c>
    </row>
    <row r="44" customFormat="false" ht="15" hidden="false" customHeight="false" outlineLevel="0" collapsed="false">
      <c r="A44" s="53" t="s">
        <v>233</v>
      </c>
      <c r="B44" s="53" t="s">
        <v>89</v>
      </c>
      <c r="C44" s="53" t="n">
        <v>9</v>
      </c>
      <c r="D44" s="53" t="s">
        <v>242</v>
      </c>
      <c r="E44" s="54" t="n">
        <v>-102</v>
      </c>
    </row>
    <row r="45" customFormat="false" ht="15" hidden="false" customHeight="false" outlineLevel="0" collapsed="false">
      <c r="A45" s="53" t="s">
        <v>233</v>
      </c>
      <c r="B45" s="53" t="s">
        <v>89</v>
      </c>
      <c r="C45" s="53" t="n">
        <v>10</v>
      </c>
      <c r="D45" s="53" t="s">
        <v>243</v>
      </c>
      <c r="E45" s="54" t="n">
        <v>-118</v>
      </c>
    </row>
    <row r="46" customFormat="false" ht="15" hidden="false" customHeight="false" outlineLevel="0" collapsed="false">
      <c r="A46" s="53" t="s">
        <v>233</v>
      </c>
      <c r="B46" s="53" t="s">
        <v>89</v>
      </c>
      <c r="C46" s="53" t="n">
        <v>11</v>
      </c>
      <c r="D46" s="53" t="s">
        <v>244</v>
      </c>
      <c r="E46" s="54" t="n">
        <v>-122</v>
      </c>
    </row>
    <row r="47" customFormat="false" ht="15" hidden="false" customHeight="false" outlineLevel="0" collapsed="false">
      <c r="A47" s="53" t="s">
        <v>233</v>
      </c>
      <c r="B47" s="53" t="s">
        <v>89</v>
      </c>
      <c r="C47" s="53" t="n">
        <v>12</v>
      </c>
      <c r="D47" s="53" t="s">
        <v>245</v>
      </c>
      <c r="E47" s="54" t="n">
        <v>-96</v>
      </c>
    </row>
    <row r="48" customFormat="false" ht="15" hidden="false" customHeight="false" outlineLevel="0" collapsed="false">
      <c r="A48" s="53" t="s">
        <v>246</v>
      </c>
      <c r="B48" s="53" t="s">
        <v>89</v>
      </c>
      <c r="C48" s="53" t="n">
        <v>1</v>
      </c>
      <c r="D48" s="53" t="s">
        <v>234</v>
      </c>
      <c r="E48" s="54" t="n">
        <v>-139</v>
      </c>
    </row>
    <row r="49" customFormat="false" ht="15" hidden="false" customHeight="false" outlineLevel="0" collapsed="false">
      <c r="A49" s="53" t="s">
        <v>246</v>
      </c>
      <c r="B49" s="53" t="s">
        <v>89</v>
      </c>
      <c r="C49" s="53" t="n">
        <v>2</v>
      </c>
      <c r="D49" s="53" t="s">
        <v>235</v>
      </c>
      <c r="E49" s="54" t="n">
        <v>-125</v>
      </c>
    </row>
    <row r="50" customFormat="false" ht="15" hidden="false" customHeight="false" outlineLevel="0" collapsed="false">
      <c r="A50" s="53" t="s">
        <v>246</v>
      </c>
      <c r="B50" s="53" t="s">
        <v>89</v>
      </c>
      <c r="C50" s="53" t="n">
        <v>3</v>
      </c>
      <c r="D50" s="53" t="s">
        <v>236</v>
      </c>
      <c r="E50" s="54" t="n">
        <v>-121</v>
      </c>
    </row>
    <row r="51" customFormat="false" ht="15" hidden="false" customHeight="false" outlineLevel="0" collapsed="false">
      <c r="A51" s="53" t="s">
        <v>246</v>
      </c>
      <c r="B51" s="53" t="s">
        <v>89</v>
      </c>
      <c r="C51" s="53" t="n">
        <v>4</v>
      </c>
      <c r="D51" s="53" t="s">
        <v>237</v>
      </c>
      <c r="E51" s="54" t="n">
        <v>-108</v>
      </c>
    </row>
    <row r="52" customFormat="false" ht="15" hidden="false" customHeight="false" outlineLevel="0" collapsed="false">
      <c r="A52" s="53" t="s">
        <v>246</v>
      </c>
      <c r="B52" s="53" t="s">
        <v>89</v>
      </c>
      <c r="C52" s="53" t="n">
        <v>5</v>
      </c>
      <c r="D52" s="53" t="s">
        <v>238</v>
      </c>
      <c r="E52" s="54" t="n">
        <v>-103</v>
      </c>
    </row>
    <row r="53" customFormat="false" ht="15" hidden="false" customHeight="false" outlineLevel="0" collapsed="false">
      <c r="A53" s="53" t="s">
        <v>246</v>
      </c>
      <c r="B53" s="53" t="s">
        <v>89</v>
      </c>
      <c r="C53" s="53" t="n">
        <v>6</v>
      </c>
      <c r="D53" s="53" t="s">
        <v>239</v>
      </c>
      <c r="E53" s="54" t="n">
        <v>-92</v>
      </c>
    </row>
    <row r="54" customFormat="false" ht="15" hidden="false" customHeight="false" outlineLevel="0" collapsed="false">
      <c r="A54" s="53" t="s">
        <v>246</v>
      </c>
      <c r="B54" s="53" t="s">
        <v>89</v>
      </c>
      <c r="C54" s="53" t="n">
        <v>7</v>
      </c>
      <c r="D54" s="53" t="s">
        <v>240</v>
      </c>
      <c r="E54" s="54" t="n">
        <v>-82</v>
      </c>
    </row>
    <row r="55" customFormat="false" ht="15" hidden="false" customHeight="false" outlineLevel="0" collapsed="false">
      <c r="A55" s="53" t="s">
        <v>246</v>
      </c>
      <c r="B55" s="53" t="s">
        <v>89</v>
      </c>
      <c r="C55" s="53" t="n">
        <v>8</v>
      </c>
      <c r="D55" s="53" t="s">
        <v>241</v>
      </c>
      <c r="E55" s="54" t="n">
        <v>-82</v>
      </c>
    </row>
    <row r="56" customFormat="false" ht="15" hidden="false" customHeight="false" outlineLevel="0" collapsed="false">
      <c r="A56" s="53" t="s">
        <v>246</v>
      </c>
      <c r="B56" s="53" t="s">
        <v>89</v>
      </c>
      <c r="C56" s="53" t="n">
        <v>9</v>
      </c>
      <c r="D56" s="53" t="s">
        <v>242</v>
      </c>
      <c r="E56" s="54" t="n">
        <v>-108</v>
      </c>
    </row>
    <row r="57" customFormat="false" ht="15" hidden="false" customHeight="false" outlineLevel="0" collapsed="false">
      <c r="A57" s="53" t="s">
        <v>246</v>
      </c>
      <c r="B57" s="53" t="s">
        <v>89</v>
      </c>
      <c r="C57" s="53" t="n">
        <v>10</v>
      </c>
      <c r="D57" s="53" t="s">
        <v>243</v>
      </c>
      <c r="E57" s="54" t="n">
        <v>-125</v>
      </c>
    </row>
    <row r="58" customFormat="false" ht="15" hidden="false" customHeight="false" outlineLevel="0" collapsed="false">
      <c r="A58" s="53" t="s">
        <v>246</v>
      </c>
      <c r="B58" s="53" t="s">
        <v>89</v>
      </c>
      <c r="C58" s="53" t="n">
        <v>11</v>
      </c>
      <c r="D58" s="53" t="s">
        <v>244</v>
      </c>
      <c r="E58" s="54" t="n">
        <v>-129</v>
      </c>
    </row>
    <row r="59" customFormat="false" ht="15" hidden="false" customHeight="false" outlineLevel="0" collapsed="false">
      <c r="A59" s="53" t="s">
        <v>246</v>
      </c>
      <c r="B59" s="53" t="s">
        <v>89</v>
      </c>
      <c r="C59" s="53" t="n">
        <v>12</v>
      </c>
      <c r="D59" s="53" t="s">
        <v>245</v>
      </c>
      <c r="E59" s="54" t="n">
        <v>-106</v>
      </c>
    </row>
    <row r="60" customFormat="false" ht="15" hidden="false" customHeight="false" outlineLevel="0" collapsed="false">
      <c r="A60" s="53" t="s">
        <v>247</v>
      </c>
      <c r="B60" s="53" t="s">
        <v>89</v>
      </c>
      <c r="C60" s="53" t="n">
        <v>1</v>
      </c>
      <c r="D60" s="53" t="s">
        <v>234</v>
      </c>
      <c r="E60" s="54" t="n">
        <v>-154</v>
      </c>
    </row>
    <row r="61" customFormat="false" ht="15" hidden="false" customHeight="false" outlineLevel="0" collapsed="false">
      <c r="A61" s="53" t="s">
        <v>247</v>
      </c>
      <c r="B61" s="53" t="s">
        <v>89</v>
      </c>
      <c r="C61" s="53" t="n">
        <v>2</v>
      </c>
      <c r="D61" s="53" t="s">
        <v>235</v>
      </c>
      <c r="E61" s="54" t="n">
        <v>-140</v>
      </c>
    </row>
    <row r="62" customFormat="false" ht="15" hidden="false" customHeight="false" outlineLevel="0" collapsed="false">
      <c r="A62" s="53" t="s">
        <v>247</v>
      </c>
      <c r="B62" s="53" t="s">
        <v>89</v>
      </c>
      <c r="C62" s="53" t="n">
        <v>3</v>
      </c>
      <c r="D62" s="53" t="s">
        <v>236</v>
      </c>
      <c r="E62" s="54" t="n">
        <v>-135</v>
      </c>
    </row>
    <row r="63" customFormat="false" ht="15" hidden="false" customHeight="false" outlineLevel="0" collapsed="false">
      <c r="A63" s="53" t="s">
        <v>247</v>
      </c>
      <c r="B63" s="53" t="s">
        <v>89</v>
      </c>
      <c r="C63" s="53" t="n">
        <v>4</v>
      </c>
      <c r="D63" s="53" t="s">
        <v>237</v>
      </c>
      <c r="E63" s="54" t="n">
        <v>-121</v>
      </c>
    </row>
    <row r="64" customFormat="false" ht="15" hidden="false" customHeight="false" outlineLevel="0" collapsed="false">
      <c r="A64" s="53" t="s">
        <v>247</v>
      </c>
      <c r="B64" s="53" t="s">
        <v>89</v>
      </c>
      <c r="C64" s="53" t="n">
        <v>5</v>
      </c>
      <c r="D64" s="53" t="s">
        <v>238</v>
      </c>
      <c r="E64" s="54" t="n">
        <v>-115</v>
      </c>
    </row>
    <row r="65" customFormat="false" ht="15" hidden="false" customHeight="false" outlineLevel="0" collapsed="false">
      <c r="A65" s="53" t="s">
        <v>247</v>
      </c>
      <c r="B65" s="53" t="s">
        <v>89</v>
      </c>
      <c r="C65" s="53" t="n">
        <v>6</v>
      </c>
      <c r="D65" s="53" t="s">
        <v>239</v>
      </c>
      <c r="E65" s="54" t="n">
        <v>-103</v>
      </c>
    </row>
    <row r="66" customFormat="false" ht="15" hidden="false" customHeight="false" outlineLevel="0" collapsed="false">
      <c r="A66" s="53" t="s">
        <v>233</v>
      </c>
      <c r="B66" s="53" t="s">
        <v>91</v>
      </c>
      <c r="C66" s="53" t="n">
        <v>1</v>
      </c>
      <c r="D66" s="53" t="s">
        <v>234</v>
      </c>
      <c r="E66" s="54" t="n">
        <v>-545</v>
      </c>
    </row>
    <row r="67" customFormat="false" ht="15" hidden="false" customHeight="false" outlineLevel="0" collapsed="false">
      <c r="A67" s="53" t="s">
        <v>233</v>
      </c>
      <c r="B67" s="53" t="s">
        <v>91</v>
      </c>
      <c r="C67" s="53" t="n">
        <v>2</v>
      </c>
      <c r="D67" s="53" t="s">
        <v>235</v>
      </c>
      <c r="E67" s="54" t="n">
        <v>-493</v>
      </c>
    </row>
    <row r="68" customFormat="false" ht="15" hidden="false" customHeight="false" outlineLevel="0" collapsed="false">
      <c r="A68" s="53" t="s">
        <v>233</v>
      </c>
      <c r="B68" s="53" t="s">
        <v>91</v>
      </c>
      <c r="C68" s="53" t="n">
        <v>3</v>
      </c>
      <c r="D68" s="53" t="s">
        <v>236</v>
      </c>
      <c r="E68" s="54" t="n">
        <v>-477</v>
      </c>
    </row>
    <row r="69" customFormat="false" ht="15" hidden="false" customHeight="false" outlineLevel="0" collapsed="false">
      <c r="A69" s="53" t="s">
        <v>233</v>
      </c>
      <c r="B69" s="53" t="s">
        <v>91</v>
      </c>
      <c r="C69" s="53" t="n">
        <v>4</v>
      </c>
      <c r="D69" s="53" t="s">
        <v>237</v>
      </c>
      <c r="E69" s="54" t="n">
        <v>-426</v>
      </c>
    </row>
    <row r="70" customFormat="false" ht="15" hidden="false" customHeight="false" outlineLevel="0" collapsed="false">
      <c r="A70" s="53" t="s">
        <v>233</v>
      </c>
      <c r="B70" s="53" t="s">
        <v>91</v>
      </c>
      <c r="C70" s="53" t="n">
        <v>5</v>
      </c>
      <c r="D70" s="53" t="s">
        <v>238</v>
      </c>
      <c r="E70" s="54" t="n">
        <v>-405</v>
      </c>
    </row>
    <row r="71" customFormat="false" ht="15" hidden="false" customHeight="false" outlineLevel="0" collapsed="false">
      <c r="A71" s="53" t="s">
        <v>233</v>
      </c>
      <c r="B71" s="53" t="s">
        <v>91</v>
      </c>
      <c r="C71" s="53" t="n">
        <v>6</v>
      </c>
      <c r="D71" s="53" t="s">
        <v>239</v>
      </c>
      <c r="E71" s="54" t="n">
        <v>-363</v>
      </c>
    </row>
    <row r="72" customFormat="false" ht="15" hidden="false" customHeight="false" outlineLevel="0" collapsed="false">
      <c r="A72" s="53" t="s">
        <v>233</v>
      </c>
      <c r="B72" s="53" t="s">
        <v>91</v>
      </c>
      <c r="C72" s="53" t="n">
        <v>7</v>
      </c>
      <c r="D72" s="53" t="s">
        <v>240</v>
      </c>
      <c r="E72" s="54" t="n">
        <v>-322</v>
      </c>
    </row>
    <row r="73" customFormat="false" ht="15" hidden="false" customHeight="false" outlineLevel="0" collapsed="false">
      <c r="A73" s="53" t="s">
        <v>233</v>
      </c>
      <c r="B73" s="53" t="s">
        <v>91</v>
      </c>
      <c r="C73" s="53" t="n">
        <v>8</v>
      </c>
      <c r="D73" s="53" t="s">
        <v>241</v>
      </c>
      <c r="E73" s="54" t="n">
        <v>-322</v>
      </c>
    </row>
    <row r="74" customFormat="false" ht="15" hidden="false" customHeight="false" outlineLevel="0" collapsed="false">
      <c r="A74" s="53" t="s">
        <v>233</v>
      </c>
      <c r="B74" s="53" t="s">
        <v>91</v>
      </c>
      <c r="C74" s="53" t="n">
        <v>9</v>
      </c>
      <c r="D74" s="53" t="s">
        <v>242</v>
      </c>
      <c r="E74" s="54" t="n">
        <v>-426</v>
      </c>
    </row>
    <row r="75" customFormat="false" ht="15" hidden="false" customHeight="false" outlineLevel="0" collapsed="false">
      <c r="A75" s="53" t="s">
        <v>233</v>
      </c>
      <c r="B75" s="53" t="s">
        <v>91</v>
      </c>
      <c r="C75" s="53" t="n">
        <v>10</v>
      </c>
      <c r="D75" s="53" t="s">
        <v>243</v>
      </c>
      <c r="E75" s="54" t="n">
        <v>-493</v>
      </c>
    </row>
    <row r="76" customFormat="false" ht="15" hidden="false" customHeight="false" outlineLevel="0" collapsed="false">
      <c r="A76" s="53" t="s">
        <v>233</v>
      </c>
      <c r="B76" s="53" t="s">
        <v>91</v>
      </c>
      <c r="C76" s="53" t="n">
        <v>11</v>
      </c>
      <c r="D76" s="53" t="s">
        <v>244</v>
      </c>
      <c r="E76" s="54" t="n">
        <v>-509</v>
      </c>
    </row>
    <row r="77" customFormat="false" ht="15" hidden="false" customHeight="false" outlineLevel="0" collapsed="false">
      <c r="A77" s="53" t="s">
        <v>233</v>
      </c>
      <c r="B77" s="53" t="s">
        <v>91</v>
      </c>
      <c r="C77" s="53" t="n">
        <v>12</v>
      </c>
      <c r="D77" s="53" t="s">
        <v>245</v>
      </c>
      <c r="E77" s="54" t="n">
        <v>-409</v>
      </c>
    </row>
    <row r="78" customFormat="false" ht="15" hidden="false" customHeight="false" outlineLevel="0" collapsed="false">
      <c r="A78" s="53" t="s">
        <v>246</v>
      </c>
      <c r="B78" s="53" t="s">
        <v>91</v>
      </c>
      <c r="C78" s="53" t="n">
        <v>1</v>
      </c>
      <c r="D78" s="53" t="s">
        <v>234</v>
      </c>
      <c r="E78" s="54" t="n">
        <v>-607</v>
      </c>
    </row>
    <row r="79" customFormat="false" ht="15" hidden="false" customHeight="false" outlineLevel="0" collapsed="false">
      <c r="A79" s="53" t="s">
        <v>246</v>
      </c>
      <c r="B79" s="53" t="s">
        <v>91</v>
      </c>
      <c r="C79" s="53" t="n">
        <v>2</v>
      </c>
      <c r="D79" s="53" t="s">
        <v>235</v>
      </c>
      <c r="E79" s="54" t="n">
        <v>-549</v>
      </c>
    </row>
    <row r="80" customFormat="false" ht="15" hidden="false" customHeight="false" outlineLevel="0" collapsed="false">
      <c r="A80" s="53" t="s">
        <v>246</v>
      </c>
      <c r="B80" s="53" t="s">
        <v>91</v>
      </c>
      <c r="C80" s="53" t="n">
        <v>3</v>
      </c>
      <c r="D80" s="53" t="s">
        <v>236</v>
      </c>
      <c r="E80" s="54" t="n">
        <v>-532</v>
      </c>
    </row>
    <row r="81" customFormat="false" ht="15" hidden="false" customHeight="false" outlineLevel="0" collapsed="false">
      <c r="A81" s="53" t="s">
        <v>246</v>
      </c>
      <c r="B81" s="53" t="s">
        <v>91</v>
      </c>
      <c r="C81" s="53" t="n">
        <v>4</v>
      </c>
      <c r="D81" s="53" t="s">
        <v>237</v>
      </c>
      <c r="E81" s="54" t="n">
        <v>-474</v>
      </c>
    </row>
    <row r="82" customFormat="false" ht="15" hidden="false" customHeight="false" outlineLevel="0" collapsed="false">
      <c r="A82" s="53" t="s">
        <v>246</v>
      </c>
      <c r="B82" s="53" t="s">
        <v>91</v>
      </c>
      <c r="C82" s="53" t="n">
        <v>5</v>
      </c>
      <c r="D82" s="53" t="s">
        <v>238</v>
      </c>
      <c r="E82" s="54" t="n">
        <v>-451</v>
      </c>
    </row>
    <row r="83" customFormat="false" ht="15" hidden="false" customHeight="false" outlineLevel="0" collapsed="false">
      <c r="A83" s="53" t="s">
        <v>246</v>
      </c>
      <c r="B83" s="53" t="s">
        <v>91</v>
      </c>
      <c r="C83" s="53" t="n">
        <v>6</v>
      </c>
      <c r="D83" s="53" t="s">
        <v>239</v>
      </c>
      <c r="E83" s="54" t="n">
        <v>-404</v>
      </c>
    </row>
    <row r="84" customFormat="false" ht="15" hidden="false" customHeight="false" outlineLevel="0" collapsed="false">
      <c r="A84" s="53" t="s">
        <v>246</v>
      </c>
      <c r="B84" s="53" t="s">
        <v>91</v>
      </c>
      <c r="C84" s="53" t="n">
        <v>7</v>
      </c>
      <c r="D84" s="53" t="s">
        <v>240</v>
      </c>
      <c r="E84" s="54" t="n">
        <v>-358</v>
      </c>
    </row>
    <row r="85" customFormat="false" ht="15" hidden="false" customHeight="false" outlineLevel="0" collapsed="false">
      <c r="A85" s="53" t="s">
        <v>246</v>
      </c>
      <c r="B85" s="53" t="s">
        <v>91</v>
      </c>
      <c r="C85" s="53" t="n">
        <v>8</v>
      </c>
      <c r="D85" s="53" t="s">
        <v>241</v>
      </c>
      <c r="E85" s="54" t="n">
        <v>-358</v>
      </c>
    </row>
    <row r="86" customFormat="false" ht="15" hidden="false" customHeight="false" outlineLevel="0" collapsed="false">
      <c r="A86" s="53" t="s">
        <v>246</v>
      </c>
      <c r="B86" s="53" t="s">
        <v>91</v>
      </c>
      <c r="C86" s="53" t="n">
        <v>9</v>
      </c>
      <c r="D86" s="53" t="s">
        <v>242</v>
      </c>
      <c r="E86" s="54" t="n">
        <v>-474</v>
      </c>
    </row>
    <row r="87" customFormat="false" ht="15" hidden="false" customHeight="false" outlineLevel="0" collapsed="false">
      <c r="A87" s="53" t="s">
        <v>246</v>
      </c>
      <c r="B87" s="53" t="s">
        <v>91</v>
      </c>
      <c r="C87" s="53" t="n">
        <v>10</v>
      </c>
      <c r="D87" s="53" t="s">
        <v>243</v>
      </c>
      <c r="E87" s="54" t="n">
        <v>-549</v>
      </c>
    </row>
    <row r="88" customFormat="false" ht="15" hidden="false" customHeight="false" outlineLevel="0" collapsed="false">
      <c r="A88" s="53" t="s">
        <v>246</v>
      </c>
      <c r="B88" s="53" t="s">
        <v>91</v>
      </c>
      <c r="C88" s="53" t="n">
        <v>11</v>
      </c>
      <c r="D88" s="53" t="s">
        <v>244</v>
      </c>
      <c r="E88" s="54" t="n">
        <v>-566</v>
      </c>
    </row>
    <row r="89" customFormat="false" ht="15" hidden="false" customHeight="false" outlineLevel="0" collapsed="false">
      <c r="A89" s="53" t="s">
        <v>246</v>
      </c>
      <c r="B89" s="53" t="s">
        <v>91</v>
      </c>
      <c r="C89" s="53" t="n">
        <v>12</v>
      </c>
      <c r="D89" s="53" t="s">
        <v>245</v>
      </c>
      <c r="E89" s="54" t="n">
        <v>-456</v>
      </c>
    </row>
    <row r="90" customFormat="false" ht="15" hidden="false" customHeight="false" outlineLevel="0" collapsed="false">
      <c r="A90" s="53" t="s">
        <v>247</v>
      </c>
      <c r="B90" s="53" t="s">
        <v>91</v>
      </c>
      <c r="C90" s="53" t="n">
        <v>1</v>
      </c>
      <c r="D90" s="53" t="s">
        <v>234</v>
      </c>
      <c r="E90" s="54" t="n">
        <v>-642</v>
      </c>
    </row>
    <row r="91" customFormat="false" ht="15" hidden="false" customHeight="false" outlineLevel="0" collapsed="false">
      <c r="A91" s="53" t="s">
        <v>247</v>
      </c>
      <c r="B91" s="53" t="s">
        <v>91</v>
      </c>
      <c r="C91" s="53" t="n">
        <v>2</v>
      </c>
      <c r="D91" s="53" t="s">
        <v>235</v>
      </c>
      <c r="E91" s="54" t="n">
        <v>-581</v>
      </c>
    </row>
    <row r="92" customFormat="false" ht="15" hidden="false" customHeight="false" outlineLevel="0" collapsed="false">
      <c r="A92" s="53" t="s">
        <v>247</v>
      </c>
      <c r="B92" s="53" t="s">
        <v>91</v>
      </c>
      <c r="C92" s="53" t="n">
        <v>3</v>
      </c>
      <c r="D92" s="53" t="s">
        <v>236</v>
      </c>
      <c r="E92" s="54" t="n">
        <v>-562</v>
      </c>
    </row>
    <row r="93" customFormat="false" ht="15" hidden="false" customHeight="false" outlineLevel="0" collapsed="false">
      <c r="A93" s="53" t="s">
        <v>247</v>
      </c>
      <c r="B93" s="53" t="s">
        <v>91</v>
      </c>
      <c r="C93" s="53" t="n">
        <v>4</v>
      </c>
      <c r="D93" s="53" t="s">
        <v>237</v>
      </c>
      <c r="E93" s="54" t="n">
        <v>-501</v>
      </c>
    </row>
    <row r="94" customFormat="false" ht="15" hidden="false" customHeight="false" outlineLevel="0" collapsed="false">
      <c r="A94" s="53" t="s">
        <v>247</v>
      </c>
      <c r="B94" s="53" t="s">
        <v>91</v>
      </c>
      <c r="C94" s="53" t="n">
        <v>5</v>
      </c>
      <c r="D94" s="53" t="s">
        <v>238</v>
      </c>
      <c r="E94" s="54" t="n">
        <v>-477</v>
      </c>
    </row>
    <row r="95" customFormat="false" ht="15" hidden="false" customHeight="false" outlineLevel="0" collapsed="false">
      <c r="A95" s="53" t="s">
        <v>247</v>
      </c>
      <c r="B95" s="53" t="s">
        <v>91</v>
      </c>
      <c r="C95" s="53" t="n">
        <v>6</v>
      </c>
      <c r="D95" s="53" t="s">
        <v>239</v>
      </c>
      <c r="E95" s="54" t="n">
        <v>-427</v>
      </c>
    </row>
    <row r="96" customFormat="false" ht="15" hidden="false" customHeight="false" outlineLevel="0" collapsed="false">
      <c r="A96" s="53" t="s">
        <v>233</v>
      </c>
      <c r="B96" s="53" t="s">
        <v>94</v>
      </c>
      <c r="C96" s="53" t="n">
        <v>1</v>
      </c>
      <c r="D96" s="53" t="s">
        <v>234</v>
      </c>
      <c r="E96" s="54" t="n">
        <v>-64</v>
      </c>
    </row>
    <row r="97" customFormat="false" ht="15" hidden="false" customHeight="false" outlineLevel="0" collapsed="false">
      <c r="A97" s="53" t="s">
        <v>233</v>
      </c>
      <c r="B97" s="53" t="s">
        <v>94</v>
      </c>
      <c r="C97" s="53" t="n">
        <v>2</v>
      </c>
      <c r="D97" s="53" t="s">
        <v>235</v>
      </c>
      <c r="E97" s="54" t="n">
        <v>-57</v>
      </c>
    </row>
    <row r="98" customFormat="false" ht="15" hidden="false" customHeight="false" outlineLevel="0" collapsed="false">
      <c r="A98" s="53" t="s">
        <v>233</v>
      </c>
      <c r="B98" s="53" t="s">
        <v>94</v>
      </c>
      <c r="C98" s="53" t="n">
        <v>3</v>
      </c>
      <c r="D98" s="53" t="s">
        <v>236</v>
      </c>
      <c r="E98" s="54" t="n">
        <v>-56</v>
      </c>
    </row>
    <row r="99" customFormat="false" ht="15" hidden="false" customHeight="false" outlineLevel="0" collapsed="false">
      <c r="A99" s="53" t="s">
        <v>233</v>
      </c>
      <c r="B99" s="53" t="s">
        <v>94</v>
      </c>
      <c r="C99" s="53" t="n">
        <v>4</v>
      </c>
      <c r="D99" s="53" t="s">
        <v>237</v>
      </c>
      <c r="E99" s="54" t="n">
        <v>-50</v>
      </c>
    </row>
    <row r="100" customFormat="false" ht="15" hidden="false" customHeight="false" outlineLevel="0" collapsed="false">
      <c r="A100" s="53" t="s">
        <v>233</v>
      </c>
      <c r="B100" s="53" t="s">
        <v>94</v>
      </c>
      <c r="C100" s="53" t="n">
        <v>5</v>
      </c>
      <c r="D100" s="53" t="s">
        <v>238</v>
      </c>
      <c r="E100" s="54" t="n">
        <v>-47</v>
      </c>
    </row>
    <row r="101" customFormat="false" ht="15" hidden="false" customHeight="false" outlineLevel="0" collapsed="false">
      <c r="A101" s="53" t="s">
        <v>233</v>
      </c>
      <c r="B101" s="53" t="s">
        <v>94</v>
      </c>
      <c r="C101" s="53" t="n">
        <v>6</v>
      </c>
      <c r="D101" s="53" t="s">
        <v>239</v>
      </c>
      <c r="E101" s="54" t="n">
        <v>-42</v>
      </c>
    </row>
    <row r="102" customFormat="false" ht="15" hidden="false" customHeight="false" outlineLevel="0" collapsed="false">
      <c r="A102" s="53" t="s">
        <v>233</v>
      </c>
      <c r="B102" s="53" t="s">
        <v>94</v>
      </c>
      <c r="C102" s="53" t="n">
        <v>7</v>
      </c>
      <c r="D102" s="53" t="s">
        <v>240</v>
      </c>
      <c r="E102" s="54" t="n">
        <v>-38</v>
      </c>
    </row>
    <row r="103" customFormat="false" ht="15" hidden="false" customHeight="false" outlineLevel="0" collapsed="false">
      <c r="A103" s="53" t="s">
        <v>233</v>
      </c>
      <c r="B103" s="53" t="s">
        <v>94</v>
      </c>
      <c r="C103" s="53" t="n">
        <v>8</v>
      </c>
      <c r="D103" s="53" t="s">
        <v>241</v>
      </c>
      <c r="E103" s="54" t="n">
        <v>-38</v>
      </c>
    </row>
    <row r="104" customFormat="false" ht="15" hidden="false" customHeight="false" outlineLevel="0" collapsed="false">
      <c r="A104" s="53" t="s">
        <v>233</v>
      </c>
      <c r="B104" s="53" t="s">
        <v>94</v>
      </c>
      <c r="C104" s="53" t="n">
        <v>9</v>
      </c>
      <c r="D104" s="53" t="s">
        <v>242</v>
      </c>
      <c r="E104" s="54" t="n">
        <v>-50</v>
      </c>
    </row>
    <row r="105" customFormat="false" ht="15" hidden="false" customHeight="false" outlineLevel="0" collapsed="false">
      <c r="A105" s="53" t="s">
        <v>233</v>
      </c>
      <c r="B105" s="53" t="s">
        <v>94</v>
      </c>
      <c r="C105" s="53" t="n">
        <v>10</v>
      </c>
      <c r="D105" s="53" t="s">
        <v>243</v>
      </c>
      <c r="E105" s="54" t="n">
        <v>-57</v>
      </c>
    </row>
    <row r="106" customFormat="false" ht="15" hidden="false" customHeight="false" outlineLevel="0" collapsed="false">
      <c r="A106" s="53" t="s">
        <v>233</v>
      </c>
      <c r="B106" s="53" t="s">
        <v>94</v>
      </c>
      <c r="C106" s="53" t="n">
        <v>11</v>
      </c>
      <c r="D106" s="53" t="s">
        <v>244</v>
      </c>
      <c r="E106" s="54" t="n">
        <v>-59</v>
      </c>
    </row>
    <row r="107" customFormat="false" ht="15" hidden="false" customHeight="false" outlineLevel="0" collapsed="false">
      <c r="A107" s="53" t="s">
        <v>233</v>
      </c>
      <c r="B107" s="53" t="s">
        <v>94</v>
      </c>
      <c r="C107" s="53" t="n">
        <v>12</v>
      </c>
      <c r="D107" s="53" t="s">
        <v>245</v>
      </c>
      <c r="E107" s="54" t="n">
        <v>-47</v>
      </c>
    </row>
    <row r="108" customFormat="false" ht="15" hidden="false" customHeight="false" outlineLevel="0" collapsed="false">
      <c r="A108" s="53" t="s">
        <v>246</v>
      </c>
      <c r="B108" s="53" t="s">
        <v>94</v>
      </c>
      <c r="C108" s="53" t="n">
        <v>1</v>
      </c>
      <c r="D108" s="53" t="s">
        <v>234</v>
      </c>
      <c r="E108" s="54" t="n">
        <v>-68</v>
      </c>
    </row>
    <row r="109" customFormat="false" ht="15" hidden="false" customHeight="false" outlineLevel="0" collapsed="false">
      <c r="A109" s="53" t="s">
        <v>246</v>
      </c>
      <c r="B109" s="53" t="s">
        <v>94</v>
      </c>
      <c r="C109" s="53" t="n">
        <v>2</v>
      </c>
      <c r="D109" s="53" t="s">
        <v>235</v>
      </c>
      <c r="E109" s="54" t="n">
        <v>-62</v>
      </c>
    </row>
    <row r="110" customFormat="false" ht="15" hidden="false" customHeight="false" outlineLevel="0" collapsed="false">
      <c r="A110" s="53" t="s">
        <v>246</v>
      </c>
      <c r="B110" s="53" t="s">
        <v>94</v>
      </c>
      <c r="C110" s="53" t="n">
        <v>3</v>
      </c>
      <c r="D110" s="53" t="s">
        <v>236</v>
      </c>
      <c r="E110" s="54" t="n">
        <v>-60</v>
      </c>
    </row>
    <row r="111" customFormat="false" ht="15" hidden="false" customHeight="false" outlineLevel="0" collapsed="false">
      <c r="A111" s="53" t="s">
        <v>246</v>
      </c>
      <c r="B111" s="53" t="s">
        <v>94</v>
      </c>
      <c r="C111" s="53" t="n">
        <v>4</v>
      </c>
      <c r="D111" s="53" t="s">
        <v>237</v>
      </c>
      <c r="E111" s="54" t="n">
        <v>-53</v>
      </c>
    </row>
    <row r="112" customFormat="false" ht="15" hidden="false" customHeight="false" outlineLevel="0" collapsed="false">
      <c r="A112" s="53" t="s">
        <v>246</v>
      </c>
      <c r="B112" s="53" t="s">
        <v>94</v>
      </c>
      <c r="C112" s="53" t="n">
        <v>5</v>
      </c>
      <c r="D112" s="53" t="s">
        <v>238</v>
      </c>
      <c r="E112" s="54" t="n">
        <v>-51</v>
      </c>
    </row>
    <row r="113" customFormat="false" ht="15" hidden="false" customHeight="false" outlineLevel="0" collapsed="false">
      <c r="A113" s="53" t="s">
        <v>246</v>
      </c>
      <c r="B113" s="53" t="s">
        <v>94</v>
      </c>
      <c r="C113" s="53" t="n">
        <v>6</v>
      </c>
      <c r="D113" s="53" t="s">
        <v>239</v>
      </c>
      <c r="E113" s="54" t="n">
        <v>-46</v>
      </c>
    </row>
    <row r="114" customFormat="false" ht="15" hidden="false" customHeight="false" outlineLevel="0" collapsed="false">
      <c r="A114" s="53" t="s">
        <v>246</v>
      </c>
      <c r="B114" s="53" t="s">
        <v>94</v>
      </c>
      <c r="C114" s="53" t="n">
        <v>7</v>
      </c>
      <c r="D114" s="53" t="s">
        <v>240</v>
      </c>
      <c r="E114" s="54" t="n">
        <v>-40</v>
      </c>
    </row>
    <row r="115" customFormat="false" ht="15" hidden="false" customHeight="false" outlineLevel="0" collapsed="false">
      <c r="A115" s="53" t="s">
        <v>246</v>
      </c>
      <c r="B115" s="53" t="s">
        <v>94</v>
      </c>
      <c r="C115" s="53" t="n">
        <v>8</v>
      </c>
      <c r="D115" s="53" t="s">
        <v>241</v>
      </c>
      <c r="E115" s="54" t="n">
        <v>-40</v>
      </c>
    </row>
    <row r="116" customFormat="false" ht="15" hidden="false" customHeight="false" outlineLevel="0" collapsed="false">
      <c r="A116" s="53" t="s">
        <v>246</v>
      </c>
      <c r="B116" s="53" t="s">
        <v>94</v>
      </c>
      <c r="C116" s="53" t="n">
        <v>9</v>
      </c>
      <c r="D116" s="53" t="s">
        <v>242</v>
      </c>
      <c r="E116" s="54" t="n">
        <v>-53</v>
      </c>
    </row>
    <row r="117" customFormat="false" ht="15" hidden="false" customHeight="false" outlineLevel="0" collapsed="false">
      <c r="A117" s="53" t="s">
        <v>246</v>
      </c>
      <c r="B117" s="53" t="s">
        <v>94</v>
      </c>
      <c r="C117" s="53" t="n">
        <v>10</v>
      </c>
      <c r="D117" s="53" t="s">
        <v>243</v>
      </c>
      <c r="E117" s="54" t="n">
        <v>-62</v>
      </c>
    </row>
    <row r="118" customFormat="false" ht="15" hidden="false" customHeight="false" outlineLevel="0" collapsed="false">
      <c r="A118" s="53" t="s">
        <v>246</v>
      </c>
      <c r="B118" s="53" t="s">
        <v>94</v>
      </c>
      <c r="C118" s="53" t="n">
        <v>11</v>
      </c>
      <c r="D118" s="53" t="s">
        <v>244</v>
      </c>
      <c r="E118" s="54" t="n">
        <v>-64</v>
      </c>
    </row>
    <row r="119" customFormat="false" ht="15" hidden="false" customHeight="false" outlineLevel="0" collapsed="false">
      <c r="A119" s="53" t="s">
        <v>246</v>
      </c>
      <c r="B119" s="53" t="s">
        <v>94</v>
      </c>
      <c r="C119" s="53" t="n">
        <v>12</v>
      </c>
      <c r="D119" s="53" t="s">
        <v>245</v>
      </c>
      <c r="E119" s="54" t="n">
        <v>-53</v>
      </c>
    </row>
    <row r="120" customFormat="false" ht="15" hidden="false" customHeight="false" outlineLevel="0" collapsed="false">
      <c r="A120" s="53" t="s">
        <v>247</v>
      </c>
      <c r="B120" s="53" t="s">
        <v>94</v>
      </c>
      <c r="C120" s="53" t="n">
        <v>1</v>
      </c>
      <c r="D120" s="53" t="s">
        <v>234</v>
      </c>
      <c r="E120" s="54" t="n">
        <v>-75</v>
      </c>
    </row>
    <row r="121" customFormat="false" ht="15" hidden="false" customHeight="false" outlineLevel="0" collapsed="false">
      <c r="A121" s="53" t="s">
        <v>247</v>
      </c>
      <c r="B121" s="53" t="s">
        <v>94</v>
      </c>
      <c r="C121" s="53" t="n">
        <v>2</v>
      </c>
      <c r="D121" s="53" t="s">
        <v>235</v>
      </c>
      <c r="E121" s="54" t="n">
        <v>-68</v>
      </c>
    </row>
    <row r="122" customFormat="false" ht="15" hidden="false" customHeight="false" outlineLevel="0" collapsed="false">
      <c r="A122" s="53" t="s">
        <v>247</v>
      </c>
      <c r="B122" s="53" t="s">
        <v>94</v>
      </c>
      <c r="C122" s="53" t="n">
        <v>3</v>
      </c>
      <c r="D122" s="53" t="s">
        <v>236</v>
      </c>
      <c r="E122" s="54" t="n">
        <v>-66</v>
      </c>
    </row>
    <row r="123" customFormat="false" ht="15" hidden="false" customHeight="false" outlineLevel="0" collapsed="false">
      <c r="A123" s="53" t="s">
        <v>247</v>
      </c>
      <c r="B123" s="53" t="s">
        <v>94</v>
      </c>
      <c r="C123" s="53" t="n">
        <v>4</v>
      </c>
      <c r="D123" s="53" t="s">
        <v>237</v>
      </c>
      <c r="E123" s="54" t="n">
        <v>-58</v>
      </c>
    </row>
    <row r="124" customFormat="false" ht="15" hidden="false" customHeight="false" outlineLevel="0" collapsed="false">
      <c r="A124" s="53" t="s">
        <v>247</v>
      </c>
      <c r="B124" s="53" t="s">
        <v>94</v>
      </c>
      <c r="C124" s="53" t="n">
        <v>5</v>
      </c>
      <c r="D124" s="53" t="s">
        <v>238</v>
      </c>
      <c r="E124" s="54" t="n">
        <v>-56</v>
      </c>
    </row>
    <row r="125" customFormat="false" ht="15" hidden="false" customHeight="false" outlineLevel="0" collapsed="false">
      <c r="A125" s="53" t="s">
        <v>247</v>
      </c>
      <c r="B125" s="53" t="s">
        <v>94</v>
      </c>
      <c r="C125" s="53" t="n">
        <v>6</v>
      </c>
      <c r="D125" s="53" t="s">
        <v>239</v>
      </c>
      <c r="E125" s="54" t="n">
        <v>-49</v>
      </c>
    </row>
    <row r="126" customFormat="false" ht="15" hidden="false" customHeight="false" outlineLevel="0" collapsed="false">
      <c r="A126" s="53" t="s">
        <v>233</v>
      </c>
      <c r="B126" s="53" t="s">
        <v>95</v>
      </c>
      <c r="C126" s="53" t="n">
        <v>1</v>
      </c>
      <c r="D126" s="53" t="s">
        <v>234</v>
      </c>
      <c r="E126" s="54" t="n">
        <v>-125</v>
      </c>
    </row>
    <row r="127" customFormat="false" ht="15" hidden="false" customHeight="false" outlineLevel="0" collapsed="false">
      <c r="A127" s="53" t="s">
        <v>233</v>
      </c>
      <c r="B127" s="53" t="s">
        <v>95</v>
      </c>
      <c r="C127" s="53" t="n">
        <v>2</v>
      </c>
      <c r="D127" s="53" t="s">
        <v>235</v>
      </c>
      <c r="E127" s="54" t="n">
        <v>-112</v>
      </c>
    </row>
    <row r="128" customFormat="false" ht="15" hidden="false" customHeight="false" outlineLevel="0" collapsed="false">
      <c r="A128" s="53" t="s">
        <v>233</v>
      </c>
      <c r="B128" s="53" t="s">
        <v>95</v>
      </c>
      <c r="C128" s="53" t="n">
        <v>3</v>
      </c>
      <c r="D128" s="53" t="s">
        <v>236</v>
      </c>
      <c r="E128" s="54" t="n">
        <v>-125</v>
      </c>
    </row>
    <row r="129" customFormat="false" ht="15" hidden="false" customHeight="false" outlineLevel="0" collapsed="false">
      <c r="A129" s="53" t="s">
        <v>233</v>
      </c>
      <c r="B129" s="53" t="s">
        <v>95</v>
      </c>
      <c r="C129" s="53" t="n">
        <v>4</v>
      </c>
      <c r="D129" s="53" t="s">
        <v>237</v>
      </c>
      <c r="E129" s="54" t="n">
        <v>-112</v>
      </c>
    </row>
    <row r="130" customFormat="false" ht="15" hidden="false" customHeight="false" outlineLevel="0" collapsed="false">
      <c r="A130" s="53" t="s">
        <v>233</v>
      </c>
      <c r="B130" s="53" t="s">
        <v>95</v>
      </c>
      <c r="C130" s="53" t="n">
        <v>5</v>
      </c>
      <c r="D130" s="53" t="s">
        <v>238</v>
      </c>
      <c r="E130" s="54" t="n">
        <v>-112</v>
      </c>
    </row>
    <row r="131" customFormat="false" ht="15" hidden="false" customHeight="false" outlineLevel="0" collapsed="false">
      <c r="A131" s="53" t="s">
        <v>233</v>
      </c>
      <c r="B131" s="53" t="s">
        <v>95</v>
      </c>
      <c r="C131" s="53" t="n">
        <v>6</v>
      </c>
      <c r="D131" s="53" t="s">
        <v>239</v>
      </c>
      <c r="E131" s="54" t="n">
        <v>-100</v>
      </c>
    </row>
    <row r="132" customFormat="false" ht="15" hidden="false" customHeight="false" outlineLevel="0" collapsed="false">
      <c r="A132" s="53" t="s">
        <v>233</v>
      </c>
      <c r="B132" s="53" t="s">
        <v>95</v>
      </c>
      <c r="C132" s="53" t="n">
        <v>7</v>
      </c>
      <c r="D132" s="53" t="s">
        <v>240</v>
      </c>
      <c r="E132" s="54" t="n">
        <v>-75</v>
      </c>
    </row>
    <row r="133" customFormat="false" ht="15" hidden="false" customHeight="false" outlineLevel="0" collapsed="false">
      <c r="A133" s="53" t="s">
        <v>233</v>
      </c>
      <c r="B133" s="53" t="s">
        <v>95</v>
      </c>
      <c r="C133" s="53" t="n">
        <v>8</v>
      </c>
      <c r="D133" s="53" t="s">
        <v>241</v>
      </c>
      <c r="E133" s="54" t="n">
        <v>-75</v>
      </c>
    </row>
    <row r="134" customFormat="false" ht="15" hidden="false" customHeight="false" outlineLevel="0" collapsed="false">
      <c r="A134" s="53" t="s">
        <v>233</v>
      </c>
      <c r="B134" s="53" t="s">
        <v>95</v>
      </c>
      <c r="C134" s="53" t="n">
        <v>9</v>
      </c>
      <c r="D134" s="53" t="s">
        <v>242</v>
      </c>
      <c r="E134" s="54" t="n">
        <v>-112</v>
      </c>
    </row>
    <row r="135" customFormat="false" ht="15" hidden="false" customHeight="false" outlineLevel="0" collapsed="false">
      <c r="A135" s="53" t="s">
        <v>233</v>
      </c>
      <c r="B135" s="53" t="s">
        <v>95</v>
      </c>
      <c r="C135" s="53" t="n">
        <v>10</v>
      </c>
      <c r="D135" s="53" t="s">
        <v>243</v>
      </c>
      <c r="E135" s="54" t="n">
        <v>-112</v>
      </c>
    </row>
    <row r="136" customFormat="false" ht="15" hidden="false" customHeight="false" outlineLevel="0" collapsed="false">
      <c r="A136" s="53" t="s">
        <v>233</v>
      </c>
      <c r="B136" s="53" t="s">
        <v>95</v>
      </c>
      <c r="C136" s="53" t="n">
        <v>11</v>
      </c>
      <c r="D136" s="53" t="s">
        <v>244</v>
      </c>
      <c r="E136" s="54" t="n">
        <v>-100</v>
      </c>
    </row>
    <row r="137" customFormat="false" ht="15" hidden="false" customHeight="false" outlineLevel="0" collapsed="false">
      <c r="A137" s="53" t="s">
        <v>233</v>
      </c>
      <c r="B137" s="53" t="s">
        <v>95</v>
      </c>
      <c r="C137" s="53" t="n">
        <v>12</v>
      </c>
      <c r="D137" s="53" t="s">
        <v>245</v>
      </c>
      <c r="E137" s="54" t="n">
        <v>-90</v>
      </c>
    </row>
    <row r="138" customFormat="false" ht="15" hidden="false" customHeight="false" outlineLevel="0" collapsed="false">
      <c r="A138" s="53" t="s">
        <v>246</v>
      </c>
      <c r="B138" s="53" t="s">
        <v>95</v>
      </c>
      <c r="C138" s="53" t="n">
        <v>1</v>
      </c>
      <c r="D138" s="53" t="s">
        <v>234</v>
      </c>
      <c r="E138" s="54" t="n">
        <v>-152</v>
      </c>
    </row>
    <row r="139" customFormat="false" ht="15" hidden="false" customHeight="false" outlineLevel="0" collapsed="false">
      <c r="A139" s="53" t="s">
        <v>246</v>
      </c>
      <c r="B139" s="53" t="s">
        <v>95</v>
      </c>
      <c r="C139" s="53" t="n">
        <v>2</v>
      </c>
      <c r="D139" s="53" t="s">
        <v>235</v>
      </c>
      <c r="E139" s="54" t="n">
        <v>-137</v>
      </c>
    </row>
    <row r="140" customFormat="false" ht="15" hidden="false" customHeight="false" outlineLevel="0" collapsed="false">
      <c r="A140" s="53" t="s">
        <v>246</v>
      </c>
      <c r="B140" s="53" t="s">
        <v>95</v>
      </c>
      <c r="C140" s="53" t="n">
        <v>3</v>
      </c>
      <c r="D140" s="53" t="s">
        <v>236</v>
      </c>
      <c r="E140" s="54" t="n">
        <v>-152</v>
      </c>
    </row>
    <row r="141" customFormat="false" ht="15" hidden="false" customHeight="false" outlineLevel="0" collapsed="false">
      <c r="A141" s="53" t="s">
        <v>246</v>
      </c>
      <c r="B141" s="53" t="s">
        <v>95</v>
      </c>
      <c r="C141" s="53" t="n">
        <v>4</v>
      </c>
      <c r="D141" s="53" t="s">
        <v>237</v>
      </c>
      <c r="E141" s="54" t="n">
        <v>-137</v>
      </c>
    </row>
    <row r="142" customFormat="false" ht="15" hidden="false" customHeight="false" outlineLevel="0" collapsed="false">
      <c r="A142" s="53" t="s">
        <v>246</v>
      </c>
      <c r="B142" s="53" t="s">
        <v>95</v>
      </c>
      <c r="C142" s="53" t="n">
        <v>5</v>
      </c>
      <c r="D142" s="53" t="s">
        <v>238</v>
      </c>
      <c r="E142" s="54" t="n">
        <v>-137</v>
      </c>
    </row>
    <row r="143" customFormat="false" ht="15" hidden="false" customHeight="false" outlineLevel="0" collapsed="false">
      <c r="A143" s="53" t="s">
        <v>246</v>
      </c>
      <c r="B143" s="53" t="s">
        <v>95</v>
      </c>
      <c r="C143" s="53" t="n">
        <v>6</v>
      </c>
      <c r="D143" s="53" t="s">
        <v>239</v>
      </c>
      <c r="E143" s="54" t="n">
        <v>-122</v>
      </c>
    </row>
    <row r="144" customFormat="false" ht="15" hidden="false" customHeight="false" outlineLevel="0" collapsed="false">
      <c r="A144" s="53" t="s">
        <v>246</v>
      </c>
      <c r="B144" s="53" t="s">
        <v>95</v>
      </c>
      <c r="C144" s="53" t="n">
        <v>7</v>
      </c>
      <c r="D144" s="53" t="s">
        <v>240</v>
      </c>
      <c r="E144" s="54" t="n">
        <v>-91</v>
      </c>
    </row>
    <row r="145" customFormat="false" ht="15" hidden="false" customHeight="false" outlineLevel="0" collapsed="false">
      <c r="A145" s="53" t="s">
        <v>246</v>
      </c>
      <c r="B145" s="53" t="s">
        <v>95</v>
      </c>
      <c r="C145" s="53" t="n">
        <v>8</v>
      </c>
      <c r="D145" s="53" t="s">
        <v>241</v>
      </c>
      <c r="E145" s="54" t="n">
        <v>-91</v>
      </c>
    </row>
    <row r="146" customFormat="false" ht="15" hidden="false" customHeight="false" outlineLevel="0" collapsed="false">
      <c r="A146" s="53" t="s">
        <v>246</v>
      </c>
      <c r="B146" s="53" t="s">
        <v>95</v>
      </c>
      <c r="C146" s="53" t="n">
        <v>9</v>
      </c>
      <c r="D146" s="53" t="s">
        <v>242</v>
      </c>
      <c r="E146" s="54" t="n">
        <v>-137</v>
      </c>
    </row>
    <row r="147" customFormat="false" ht="15" hidden="false" customHeight="false" outlineLevel="0" collapsed="false">
      <c r="A147" s="53" t="s">
        <v>246</v>
      </c>
      <c r="B147" s="53" t="s">
        <v>95</v>
      </c>
      <c r="C147" s="53" t="n">
        <v>10</v>
      </c>
      <c r="D147" s="53" t="s">
        <v>243</v>
      </c>
      <c r="E147" s="54" t="n">
        <v>-137</v>
      </c>
    </row>
    <row r="148" customFormat="false" ht="15" hidden="false" customHeight="false" outlineLevel="0" collapsed="false">
      <c r="A148" s="53" t="s">
        <v>246</v>
      </c>
      <c r="B148" s="53" t="s">
        <v>95</v>
      </c>
      <c r="C148" s="53" t="n">
        <v>11</v>
      </c>
      <c r="D148" s="53" t="s">
        <v>244</v>
      </c>
      <c r="E148" s="54" t="n">
        <v>-122</v>
      </c>
    </row>
    <row r="149" customFormat="false" ht="15" hidden="false" customHeight="false" outlineLevel="0" collapsed="false">
      <c r="A149" s="53" t="s">
        <v>246</v>
      </c>
      <c r="B149" s="53" t="s">
        <v>95</v>
      </c>
      <c r="C149" s="53" t="n">
        <v>12</v>
      </c>
      <c r="D149" s="53" t="s">
        <v>245</v>
      </c>
      <c r="E149" s="54" t="n">
        <v>-105</v>
      </c>
    </row>
    <row r="150" customFormat="false" ht="15" hidden="false" customHeight="false" outlineLevel="0" collapsed="false">
      <c r="A150" s="53" t="s">
        <v>247</v>
      </c>
      <c r="B150" s="53" t="s">
        <v>95</v>
      </c>
      <c r="C150" s="53" t="n">
        <v>1</v>
      </c>
      <c r="D150" s="53" t="s">
        <v>234</v>
      </c>
      <c r="E150" s="54" t="n">
        <v>-129</v>
      </c>
    </row>
    <row r="151" customFormat="false" ht="15" hidden="false" customHeight="false" outlineLevel="0" collapsed="false">
      <c r="A151" s="53" t="s">
        <v>247</v>
      </c>
      <c r="B151" s="53" t="s">
        <v>95</v>
      </c>
      <c r="C151" s="53" t="n">
        <v>2</v>
      </c>
      <c r="D151" s="53" t="s">
        <v>235</v>
      </c>
      <c r="E151" s="54" t="n">
        <v>-117</v>
      </c>
    </row>
    <row r="152" customFormat="false" ht="15" hidden="false" customHeight="false" outlineLevel="0" collapsed="false">
      <c r="A152" s="53" t="s">
        <v>247</v>
      </c>
      <c r="B152" s="53" t="s">
        <v>95</v>
      </c>
      <c r="C152" s="53" t="n">
        <v>3</v>
      </c>
      <c r="D152" s="53" t="s">
        <v>236</v>
      </c>
      <c r="E152" s="54" t="n">
        <v>-129</v>
      </c>
    </row>
    <row r="153" customFormat="false" ht="15" hidden="false" customHeight="false" outlineLevel="0" collapsed="false">
      <c r="A153" s="53" t="s">
        <v>247</v>
      </c>
      <c r="B153" s="53" t="s">
        <v>95</v>
      </c>
      <c r="C153" s="53" t="n">
        <v>4</v>
      </c>
      <c r="D153" s="53" t="s">
        <v>237</v>
      </c>
      <c r="E153" s="54" t="n">
        <v>-117</v>
      </c>
    </row>
    <row r="154" customFormat="false" ht="15" hidden="false" customHeight="false" outlineLevel="0" collapsed="false">
      <c r="A154" s="53" t="s">
        <v>247</v>
      </c>
      <c r="B154" s="53" t="s">
        <v>95</v>
      </c>
      <c r="C154" s="53" t="n">
        <v>5</v>
      </c>
      <c r="D154" s="53" t="s">
        <v>238</v>
      </c>
      <c r="E154" s="54" t="n">
        <v>-117</v>
      </c>
    </row>
    <row r="155" customFormat="false" ht="15" hidden="false" customHeight="false" outlineLevel="0" collapsed="false">
      <c r="A155" s="53" t="s">
        <v>247</v>
      </c>
      <c r="B155" s="53" t="s">
        <v>95</v>
      </c>
      <c r="C155" s="53" t="n">
        <v>6</v>
      </c>
      <c r="D155" s="53" t="s">
        <v>239</v>
      </c>
      <c r="E155" s="54" t="n">
        <v>-103</v>
      </c>
    </row>
    <row r="156" customFormat="false" ht="15" hidden="false" customHeight="false" outlineLevel="0" collapsed="false">
      <c r="A156" s="53" t="s">
        <v>233</v>
      </c>
      <c r="B156" s="53" t="s">
        <v>96</v>
      </c>
      <c r="C156" s="53" t="n">
        <v>1</v>
      </c>
      <c r="D156" s="53" t="s">
        <v>234</v>
      </c>
      <c r="E156" s="54" t="n">
        <v>-119</v>
      </c>
    </row>
    <row r="157" customFormat="false" ht="15" hidden="false" customHeight="false" outlineLevel="0" collapsed="false">
      <c r="A157" s="53" t="s">
        <v>233</v>
      </c>
      <c r="B157" s="53" t="s">
        <v>96</v>
      </c>
      <c r="C157" s="53" t="n">
        <v>2</v>
      </c>
      <c r="D157" s="53" t="s">
        <v>235</v>
      </c>
      <c r="E157" s="54" t="n">
        <v>-119</v>
      </c>
    </row>
    <row r="158" customFormat="false" ht="15" hidden="false" customHeight="false" outlineLevel="0" collapsed="false">
      <c r="A158" s="53" t="s">
        <v>233</v>
      </c>
      <c r="B158" s="53" t="s">
        <v>96</v>
      </c>
      <c r="C158" s="53" t="n">
        <v>3</v>
      </c>
      <c r="D158" s="53" t="s">
        <v>236</v>
      </c>
      <c r="E158" s="54" t="n">
        <v>-119</v>
      </c>
    </row>
    <row r="159" customFormat="false" ht="15" hidden="false" customHeight="false" outlineLevel="0" collapsed="false">
      <c r="A159" s="53" t="s">
        <v>233</v>
      </c>
      <c r="B159" s="53" t="s">
        <v>96</v>
      </c>
      <c r="C159" s="53" t="n">
        <v>4</v>
      </c>
      <c r="D159" s="53" t="s">
        <v>237</v>
      </c>
      <c r="E159" s="54" t="n">
        <v>-119</v>
      </c>
    </row>
    <row r="160" customFormat="false" ht="15" hidden="false" customHeight="false" outlineLevel="0" collapsed="false">
      <c r="A160" s="53" t="s">
        <v>233</v>
      </c>
      <c r="B160" s="53" t="s">
        <v>96</v>
      </c>
      <c r="C160" s="53" t="n">
        <v>5</v>
      </c>
      <c r="D160" s="53" t="s">
        <v>238</v>
      </c>
      <c r="E160" s="54" t="n">
        <v>-119</v>
      </c>
    </row>
    <row r="161" customFormat="false" ht="15" hidden="false" customHeight="false" outlineLevel="0" collapsed="false">
      <c r="A161" s="53" t="s">
        <v>233</v>
      </c>
      <c r="B161" s="53" t="s">
        <v>96</v>
      </c>
      <c r="C161" s="53" t="n">
        <v>6</v>
      </c>
      <c r="D161" s="53" t="s">
        <v>239</v>
      </c>
      <c r="E161" s="54" t="n">
        <v>-119</v>
      </c>
    </row>
    <row r="162" customFormat="false" ht="15" hidden="false" customHeight="false" outlineLevel="0" collapsed="false">
      <c r="A162" s="53" t="s">
        <v>233</v>
      </c>
      <c r="B162" s="53" t="s">
        <v>96</v>
      </c>
      <c r="C162" s="53" t="n">
        <v>7</v>
      </c>
      <c r="D162" s="53" t="s">
        <v>240</v>
      </c>
      <c r="E162" s="54" t="n">
        <v>-119</v>
      </c>
    </row>
    <row r="163" customFormat="false" ht="15" hidden="false" customHeight="false" outlineLevel="0" collapsed="false">
      <c r="A163" s="53" t="s">
        <v>233</v>
      </c>
      <c r="B163" s="53" t="s">
        <v>96</v>
      </c>
      <c r="C163" s="53" t="n">
        <v>8</v>
      </c>
      <c r="D163" s="53" t="s">
        <v>241</v>
      </c>
      <c r="E163" s="54" t="n">
        <v>-119</v>
      </c>
    </row>
    <row r="164" customFormat="false" ht="15" hidden="false" customHeight="false" outlineLevel="0" collapsed="false">
      <c r="A164" s="53" t="s">
        <v>233</v>
      </c>
      <c r="B164" s="53" t="s">
        <v>96</v>
      </c>
      <c r="C164" s="53" t="n">
        <v>9</v>
      </c>
      <c r="D164" s="53" t="s">
        <v>242</v>
      </c>
      <c r="E164" s="54" t="n">
        <v>-119</v>
      </c>
    </row>
    <row r="165" customFormat="false" ht="15" hidden="false" customHeight="false" outlineLevel="0" collapsed="false">
      <c r="A165" s="53" t="s">
        <v>233</v>
      </c>
      <c r="B165" s="53" t="s">
        <v>96</v>
      </c>
      <c r="C165" s="53" t="n">
        <v>10</v>
      </c>
      <c r="D165" s="53" t="s">
        <v>243</v>
      </c>
      <c r="E165" s="54" t="n">
        <v>-119</v>
      </c>
    </row>
    <row r="166" customFormat="false" ht="15" hidden="false" customHeight="false" outlineLevel="0" collapsed="false">
      <c r="A166" s="53" t="s">
        <v>233</v>
      </c>
      <c r="B166" s="53" t="s">
        <v>96</v>
      </c>
      <c r="C166" s="53" t="n">
        <v>11</v>
      </c>
      <c r="D166" s="53" t="s">
        <v>244</v>
      </c>
      <c r="E166" s="54" t="n">
        <v>-119</v>
      </c>
    </row>
    <row r="167" customFormat="false" ht="15" hidden="false" customHeight="false" outlineLevel="0" collapsed="false">
      <c r="A167" s="53" t="s">
        <v>233</v>
      </c>
      <c r="B167" s="53" t="s">
        <v>96</v>
      </c>
      <c r="C167" s="53" t="n">
        <v>12</v>
      </c>
      <c r="D167" s="53" t="s">
        <v>245</v>
      </c>
      <c r="E167" s="54" t="n">
        <v>-121</v>
      </c>
    </row>
    <row r="168" customFormat="false" ht="15" hidden="false" customHeight="false" outlineLevel="0" collapsed="false">
      <c r="A168" s="53" t="s">
        <v>246</v>
      </c>
      <c r="B168" s="53" t="s">
        <v>96</v>
      </c>
      <c r="C168" s="53" t="n">
        <v>1</v>
      </c>
      <c r="D168" s="53" t="s">
        <v>234</v>
      </c>
      <c r="E168" s="54" t="n">
        <v>-134</v>
      </c>
    </row>
    <row r="169" customFormat="false" ht="15" hidden="false" customHeight="false" outlineLevel="0" collapsed="false">
      <c r="A169" s="53" t="s">
        <v>246</v>
      </c>
      <c r="B169" s="53" t="s">
        <v>96</v>
      </c>
      <c r="C169" s="53" t="n">
        <v>2</v>
      </c>
      <c r="D169" s="53" t="s">
        <v>235</v>
      </c>
      <c r="E169" s="54" t="n">
        <v>-134</v>
      </c>
    </row>
    <row r="170" customFormat="false" ht="15" hidden="false" customHeight="false" outlineLevel="0" collapsed="false">
      <c r="A170" s="53" t="s">
        <v>246</v>
      </c>
      <c r="B170" s="53" t="s">
        <v>96</v>
      </c>
      <c r="C170" s="53" t="n">
        <v>3</v>
      </c>
      <c r="D170" s="53" t="s">
        <v>236</v>
      </c>
      <c r="E170" s="54" t="n">
        <v>-134</v>
      </c>
    </row>
    <row r="171" customFormat="false" ht="15" hidden="false" customHeight="false" outlineLevel="0" collapsed="false">
      <c r="A171" s="53" t="s">
        <v>246</v>
      </c>
      <c r="B171" s="53" t="s">
        <v>96</v>
      </c>
      <c r="C171" s="53" t="n">
        <v>4</v>
      </c>
      <c r="D171" s="53" t="s">
        <v>237</v>
      </c>
      <c r="E171" s="54" t="n">
        <v>-134</v>
      </c>
    </row>
    <row r="172" customFormat="false" ht="15" hidden="false" customHeight="false" outlineLevel="0" collapsed="false">
      <c r="A172" s="53" t="s">
        <v>246</v>
      </c>
      <c r="B172" s="53" t="s">
        <v>96</v>
      </c>
      <c r="C172" s="53" t="n">
        <v>5</v>
      </c>
      <c r="D172" s="53" t="s">
        <v>238</v>
      </c>
      <c r="E172" s="54" t="n">
        <v>-134</v>
      </c>
    </row>
    <row r="173" customFormat="false" ht="15" hidden="false" customHeight="false" outlineLevel="0" collapsed="false">
      <c r="A173" s="53" t="s">
        <v>246</v>
      </c>
      <c r="B173" s="53" t="s">
        <v>96</v>
      </c>
      <c r="C173" s="53" t="n">
        <v>6</v>
      </c>
      <c r="D173" s="53" t="s">
        <v>239</v>
      </c>
      <c r="E173" s="54" t="n">
        <v>-134</v>
      </c>
    </row>
    <row r="174" customFormat="false" ht="15" hidden="false" customHeight="false" outlineLevel="0" collapsed="false">
      <c r="A174" s="53" t="s">
        <v>246</v>
      </c>
      <c r="B174" s="53" t="s">
        <v>96</v>
      </c>
      <c r="C174" s="53" t="n">
        <v>7</v>
      </c>
      <c r="D174" s="53" t="s">
        <v>240</v>
      </c>
      <c r="E174" s="54" t="n">
        <v>-134</v>
      </c>
    </row>
    <row r="175" customFormat="false" ht="15" hidden="false" customHeight="false" outlineLevel="0" collapsed="false">
      <c r="A175" s="53" t="s">
        <v>246</v>
      </c>
      <c r="B175" s="53" t="s">
        <v>96</v>
      </c>
      <c r="C175" s="53" t="n">
        <v>8</v>
      </c>
      <c r="D175" s="53" t="s">
        <v>241</v>
      </c>
      <c r="E175" s="54" t="n">
        <v>-134</v>
      </c>
    </row>
    <row r="176" customFormat="false" ht="15" hidden="false" customHeight="false" outlineLevel="0" collapsed="false">
      <c r="A176" s="53" t="s">
        <v>246</v>
      </c>
      <c r="B176" s="53" t="s">
        <v>96</v>
      </c>
      <c r="C176" s="53" t="n">
        <v>9</v>
      </c>
      <c r="D176" s="53" t="s">
        <v>242</v>
      </c>
      <c r="E176" s="54" t="n">
        <v>-134</v>
      </c>
    </row>
    <row r="177" customFormat="false" ht="15" hidden="false" customHeight="false" outlineLevel="0" collapsed="false">
      <c r="A177" s="53" t="s">
        <v>246</v>
      </c>
      <c r="B177" s="53" t="s">
        <v>96</v>
      </c>
      <c r="C177" s="53" t="n">
        <v>10</v>
      </c>
      <c r="D177" s="53" t="s">
        <v>243</v>
      </c>
      <c r="E177" s="54" t="n">
        <v>-134</v>
      </c>
    </row>
    <row r="178" customFormat="false" ht="15" hidden="false" customHeight="false" outlineLevel="0" collapsed="false">
      <c r="A178" s="53" t="s">
        <v>246</v>
      </c>
      <c r="B178" s="53" t="s">
        <v>96</v>
      </c>
      <c r="C178" s="53" t="n">
        <v>11</v>
      </c>
      <c r="D178" s="53" t="s">
        <v>244</v>
      </c>
      <c r="E178" s="54" t="n">
        <v>-134</v>
      </c>
    </row>
    <row r="179" customFormat="false" ht="15" hidden="false" customHeight="false" outlineLevel="0" collapsed="false">
      <c r="A179" s="53" t="s">
        <v>246</v>
      </c>
      <c r="B179" s="53" t="s">
        <v>96</v>
      </c>
      <c r="C179" s="53" t="n">
        <v>12</v>
      </c>
      <c r="D179" s="53" t="s">
        <v>245</v>
      </c>
      <c r="E179" s="54" t="n">
        <v>-136</v>
      </c>
    </row>
    <row r="180" customFormat="false" ht="15" hidden="false" customHeight="false" outlineLevel="0" collapsed="false">
      <c r="A180" s="53" t="s">
        <v>247</v>
      </c>
      <c r="B180" s="53" t="s">
        <v>96</v>
      </c>
      <c r="C180" s="53" t="n">
        <v>1</v>
      </c>
      <c r="D180" s="53" t="s">
        <v>234</v>
      </c>
      <c r="E180" s="54" t="n">
        <v>-140</v>
      </c>
    </row>
    <row r="181" customFormat="false" ht="15" hidden="false" customHeight="false" outlineLevel="0" collapsed="false">
      <c r="A181" s="53" t="s">
        <v>247</v>
      </c>
      <c r="B181" s="53" t="s">
        <v>96</v>
      </c>
      <c r="C181" s="53" t="n">
        <v>2</v>
      </c>
      <c r="D181" s="53" t="s">
        <v>235</v>
      </c>
      <c r="E181" s="54" t="n">
        <v>-140</v>
      </c>
    </row>
    <row r="182" customFormat="false" ht="15" hidden="false" customHeight="false" outlineLevel="0" collapsed="false">
      <c r="A182" s="53" t="s">
        <v>247</v>
      </c>
      <c r="B182" s="53" t="s">
        <v>96</v>
      </c>
      <c r="C182" s="53" t="n">
        <v>3</v>
      </c>
      <c r="D182" s="53" t="s">
        <v>236</v>
      </c>
      <c r="E182" s="54" t="n">
        <v>-140</v>
      </c>
    </row>
    <row r="183" customFormat="false" ht="15" hidden="false" customHeight="false" outlineLevel="0" collapsed="false">
      <c r="A183" s="53" t="s">
        <v>247</v>
      </c>
      <c r="B183" s="53" t="s">
        <v>96</v>
      </c>
      <c r="C183" s="53" t="n">
        <v>4</v>
      </c>
      <c r="D183" s="53" t="s">
        <v>237</v>
      </c>
      <c r="E183" s="54" t="n">
        <v>-140</v>
      </c>
    </row>
    <row r="184" customFormat="false" ht="15" hidden="false" customHeight="false" outlineLevel="0" collapsed="false">
      <c r="A184" s="53" t="s">
        <v>247</v>
      </c>
      <c r="B184" s="53" t="s">
        <v>96</v>
      </c>
      <c r="C184" s="53" t="n">
        <v>5</v>
      </c>
      <c r="D184" s="53" t="s">
        <v>238</v>
      </c>
      <c r="E184" s="54" t="n">
        <v>-140</v>
      </c>
    </row>
    <row r="185" customFormat="false" ht="15" hidden="false" customHeight="false" outlineLevel="0" collapsed="false">
      <c r="A185" s="53" t="s">
        <v>247</v>
      </c>
      <c r="B185" s="53" t="s">
        <v>96</v>
      </c>
      <c r="C185" s="53" t="n">
        <v>6</v>
      </c>
      <c r="D185" s="53" t="s">
        <v>239</v>
      </c>
      <c r="E185" s="54" t="n">
        <v>-138</v>
      </c>
    </row>
    <row r="186" customFormat="false" ht="15" hidden="false" customHeight="false" outlineLevel="0" collapsed="false">
      <c r="A186" s="53" t="s">
        <v>233</v>
      </c>
      <c r="B186" s="53" t="s">
        <v>97</v>
      </c>
      <c r="C186" s="53" t="n">
        <v>1</v>
      </c>
      <c r="D186" s="53" t="s">
        <v>234</v>
      </c>
      <c r="E186" s="54" t="n">
        <v>-32</v>
      </c>
    </row>
    <row r="187" customFormat="false" ht="15" hidden="false" customHeight="false" outlineLevel="0" collapsed="false">
      <c r="A187" s="53" t="s">
        <v>233</v>
      </c>
      <c r="B187" s="53" t="s">
        <v>97</v>
      </c>
      <c r="C187" s="53" t="n">
        <v>2</v>
      </c>
      <c r="D187" s="53" t="s">
        <v>235</v>
      </c>
      <c r="E187" s="54" t="n">
        <v>-32</v>
      </c>
    </row>
    <row r="188" customFormat="false" ht="15" hidden="false" customHeight="false" outlineLevel="0" collapsed="false">
      <c r="A188" s="53" t="s">
        <v>233</v>
      </c>
      <c r="B188" s="53" t="s">
        <v>97</v>
      </c>
      <c r="C188" s="53" t="n">
        <v>3</v>
      </c>
      <c r="D188" s="53" t="s">
        <v>236</v>
      </c>
      <c r="E188" s="54" t="n">
        <v>-32</v>
      </c>
    </row>
    <row r="189" customFormat="false" ht="15" hidden="false" customHeight="false" outlineLevel="0" collapsed="false">
      <c r="A189" s="53" t="s">
        <v>233</v>
      </c>
      <c r="B189" s="53" t="s">
        <v>97</v>
      </c>
      <c r="C189" s="53" t="n">
        <v>4</v>
      </c>
      <c r="D189" s="53" t="s">
        <v>237</v>
      </c>
      <c r="E189" s="54" t="n">
        <v>-32</v>
      </c>
    </row>
    <row r="190" customFormat="false" ht="15" hidden="false" customHeight="false" outlineLevel="0" collapsed="false">
      <c r="A190" s="53" t="s">
        <v>233</v>
      </c>
      <c r="B190" s="53" t="s">
        <v>97</v>
      </c>
      <c r="C190" s="53" t="n">
        <v>5</v>
      </c>
      <c r="D190" s="53" t="s">
        <v>238</v>
      </c>
      <c r="E190" s="54" t="n">
        <v>-32</v>
      </c>
    </row>
    <row r="191" customFormat="false" ht="15" hidden="false" customHeight="false" outlineLevel="0" collapsed="false">
      <c r="A191" s="53" t="s">
        <v>233</v>
      </c>
      <c r="B191" s="53" t="s">
        <v>97</v>
      </c>
      <c r="C191" s="53" t="n">
        <v>6</v>
      </c>
      <c r="D191" s="53" t="s">
        <v>239</v>
      </c>
      <c r="E191" s="54" t="n">
        <v>-32</v>
      </c>
    </row>
    <row r="192" customFormat="false" ht="15" hidden="false" customHeight="false" outlineLevel="0" collapsed="false">
      <c r="A192" s="53" t="s">
        <v>233</v>
      </c>
      <c r="B192" s="53" t="s">
        <v>97</v>
      </c>
      <c r="C192" s="53" t="n">
        <v>7</v>
      </c>
      <c r="D192" s="53" t="s">
        <v>240</v>
      </c>
      <c r="E192" s="54" t="n">
        <v>-32</v>
      </c>
    </row>
    <row r="193" customFormat="false" ht="15" hidden="false" customHeight="false" outlineLevel="0" collapsed="false">
      <c r="A193" s="53" t="s">
        <v>233</v>
      </c>
      <c r="B193" s="53" t="s">
        <v>97</v>
      </c>
      <c r="C193" s="53" t="n">
        <v>8</v>
      </c>
      <c r="D193" s="53" t="s">
        <v>241</v>
      </c>
      <c r="E193" s="54" t="n">
        <v>-32</v>
      </c>
    </row>
    <row r="194" customFormat="false" ht="15" hidden="false" customHeight="false" outlineLevel="0" collapsed="false">
      <c r="A194" s="53" t="s">
        <v>233</v>
      </c>
      <c r="B194" s="53" t="s">
        <v>97</v>
      </c>
      <c r="C194" s="53" t="n">
        <v>9</v>
      </c>
      <c r="D194" s="53" t="s">
        <v>242</v>
      </c>
      <c r="E194" s="54" t="n">
        <v>-32</v>
      </c>
    </row>
    <row r="195" customFormat="false" ht="15" hidden="false" customHeight="false" outlineLevel="0" collapsed="false">
      <c r="A195" s="53" t="s">
        <v>233</v>
      </c>
      <c r="B195" s="53" t="s">
        <v>97</v>
      </c>
      <c r="C195" s="53" t="n">
        <v>10</v>
      </c>
      <c r="D195" s="53" t="s">
        <v>243</v>
      </c>
      <c r="E195" s="54" t="n">
        <v>-32</v>
      </c>
    </row>
    <row r="196" customFormat="false" ht="15" hidden="false" customHeight="false" outlineLevel="0" collapsed="false">
      <c r="A196" s="53" t="s">
        <v>233</v>
      </c>
      <c r="B196" s="53" t="s">
        <v>97</v>
      </c>
      <c r="C196" s="53" t="n">
        <v>11</v>
      </c>
      <c r="D196" s="53" t="s">
        <v>244</v>
      </c>
      <c r="E196" s="54" t="n">
        <v>-32</v>
      </c>
    </row>
    <row r="197" customFormat="false" ht="15" hidden="false" customHeight="false" outlineLevel="0" collapsed="false">
      <c r="A197" s="53" t="s">
        <v>233</v>
      </c>
      <c r="B197" s="53" t="s">
        <v>97</v>
      </c>
      <c r="C197" s="53" t="n">
        <v>12</v>
      </c>
      <c r="D197" s="53" t="s">
        <v>245</v>
      </c>
      <c r="E197" s="54" t="n">
        <v>-33</v>
      </c>
    </row>
    <row r="198" customFormat="false" ht="15" hidden="false" customHeight="false" outlineLevel="0" collapsed="false">
      <c r="A198" s="53" t="s">
        <v>246</v>
      </c>
      <c r="B198" s="53" t="s">
        <v>97</v>
      </c>
      <c r="C198" s="53" t="n">
        <v>1</v>
      </c>
      <c r="D198" s="53" t="s">
        <v>234</v>
      </c>
      <c r="E198" s="54" t="n">
        <v>-35</v>
      </c>
    </row>
    <row r="199" customFormat="false" ht="15" hidden="false" customHeight="false" outlineLevel="0" collapsed="false">
      <c r="A199" s="53" t="s">
        <v>246</v>
      </c>
      <c r="B199" s="53" t="s">
        <v>97</v>
      </c>
      <c r="C199" s="53" t="n">
        <v>2</v>
      </c>
      <c r="D199" s="53" t="s">
        <v>235</v>
      </c>
      <c r="E199" s="54" t="n">
        <v>-35</v>
      </c>
    </row>
    <row r="200" customFormat="false" ht="15" hidden="false" customHeight="false" outlineLevel="0" collapsed="false">
      <c r="A200" s="53" t="s">
        <v>246</v>
      </c>
      <c r="B200" s="53" t="s">
        <v>97</v>
      </c>
      <c r="C200" s="53" t="n">
        <v>3</v>
      </c>
      <c r="D200" s="53" t="s">
        <v>236</v>
      </c>
      <c r="E200" s="54" t="n">
        <v>-35</v>
      </c>
    </row>
    <row r="201" customFormat="false" ht="15" hidden="false" customHeight="false" outlineLevel="0" collapsed="false">
      <c r="A201" s="53" t="s">
        <v>246</v>
      </c>
      <c r="B201" s="53" t="s">
        <v>97</v>
      </c>
      <c r="C201" s="53" t="n">
        <v>4</v>
      </c>
      <c r="D201" s="53" t="s">
        <v>237</v>
      </c>
      <c r="E201" s="54" t="n">
        <v>-35</v>
      </c>
    </row>
    <row r="202" customFormat="false" ht="15" hidden="false" customHeight="false" outlineLevel="0" collapsed="false">
      <c r="A202" s="53" t="s">
        <v>246</v>
      </c>
      <c r="B202" s="53" t="s">
        <v>97</v>
      </c>
      <c r="C202" s="53" t="n">
        <v>5</v>
      </c>
      <c r="D202" s="53" t="s">
        <v>238</v>
      </c>
      <c r="E202" s="54" t="n">
        <v>-35</v>
      </c>
    </row>
    <row r="203" customFormat="false" ht="15" hidden="false" customHeight="false" outlineLevel="0" collapsed="false">
      <c r="A203" s="53" t="s">
        <v>246</v>
      </c>
      <c r="B203" s="53" t="s">
        <v>97</v>
      </c>
      <c r="C203" s="53" t="n">
        <v>6</v>
      </c>
      <c r="D203" s="53" t="s">
        <v>239</v>
      </c>
      <c r="E203" s="54" t="n">
        <v>-35</v>
      </c>
    </row>
    <row r="204" customFormat="false" ht="15" hidden="false" customHeight="false" outlineLevel="0" collapsed="false">
      <c r="A204" s="53" t="s">
        <v>246</v>
      </c>
      <c r="B204" s="53" t="s">
        <v>97</v>
      </c>
      <c r="C204" s="53" t="n">
        <v>7</v>
      </c>
      <c r="D204" s="53" t="s">
        <v>240</v>
      </c>
      <c r="E204" s="54" t="n">
        <v>-35</v>
      </c>
    </row>
    <row r="205" customFormat="false" ht="15" hidden="false" customHeight="false" outlineLevel="0" collapsed="false">
      <c r="A205" s="53" t="s">
        <v>246</v>
      </c>
      <c r="B205" s="53" t="s">
        <v>97</v>
      </c>
      <c r="C205" s="53" t="n">
        <v>8</v>
      </c>
      <c r="D205" s="53" t="s">
        <v>241</v>
      </c>
      <c r="E205" s="54" t="n">
        <v>-35</v>
      </c>
    </row>
    <row r="206" customFormat="false" ht="15" hidden="false" customHeight="false" outlineLevel="0" collapsed="false">
      <c r="A206" s="53" t="s">
        <v>246</v>
      </c>
      <c r="B206" s="53" t="s">
        <v>97</v>
      </c>
      <c r="C206" s="53" t="n">
        <v>9</v>
      </c>
      <c r="D206" s="53" t="s">
        <v>242</v>
      </c>
      <c r="E206" s="54" t="n">
        <v>-35</v>
      </c>
    </row>
    <row r="207" customFormat="false" ht="15" hidden="false" customHeight="false" outlineLevel="0" collapsed="false">
      <c r="A207" s="53" t="s">
        <v>246</v>
      </c>
      <c r="B207" s="53" t="s">
        <v>97</v>
      </c>
      <c r="C207" s="53" t="n">
        <v>10</v>
      </c>
      <c r="D207" s="53" t="s">
        <v>243</v>
      </c>
      <c r="E207" s="54" t="n">
        <v>-35</v>
      </c>
    </row>
    <row r="208" customFormat="false" ht="15" hidden="false" customHeight="false" outlineLevel="0" collapsed="false">
      <c r="A208" s="53" t="s">
        <v>246</v>
      </c>
      <c r="B208" s="53" t="s">
        <v>97</v>
      </c>
      <c r="C208" s="53" t="n">
        <v>11</v>
      </c>
      <c r="D208" s="53" t="s">
        <v>244</v>
      </c>
      <c r="E208" s="54" t="n">
        <v>-35</v>
      </c>
    </row>
    <row r="209" customFormat="false" ht="15" hidden="false" customHeight="false" outlineLevel="0" collapsed="false">
      <c r="A209" s="53" t="s">
        <v>246</v>
      </c>
      <c r="B209" s="53" t="s">
        <v>97</v>
      </c>
      <c r="C209" s="53" t="n">
        <v>12</v>
      </c>
      <c r="D209" s="53" t="s">
        <v>245</v>
      </c>
      <c r="E209" s="54" t="n">
        <v>-35</v>
      </c>
    </row>
    <row r="210" customFormat="false" ht="15" hidden="false" customHeight="false" outlineLevel="0" collapsed="false">
      <c r="A210" s="53" t="s">
        <v>247</v>
      </c>
      <c r="B210" s="53" t="s">
        <v>97</v>
      </c>
      <c r="C210" s="53" t="n">
        <v>1</v>
      </c>
      <c r="D210" s="53" t="s">
        <v>234</v>
      </c>
      <c r="E210" s="54" t="n">
        <v>-34</v>
      </c>
    </row>
    <row r="211" customFormat="false" ht="15" hidden="false" customHeight="false" outlineLevel="0" collapsed="false">
      <c r="A211" s="53" t="s">
        <v>247</v>
      </c>
      <c r="B211" s="53" t="s">
        <v>97</v>
      </c>
      <c r="C211" s="53" t="n">
        <v>2</v>
      </c>
      <c r="D211" s="53" t="s">
        <v>235</v>
      </c>
      <c r="E211" s="54" t="n">
        <v>-34</v>
      </c>
    </row>
    <row r="212" customFormat="false" ht="15" hidden="false" customHeight="false" outlineLevel="0" collapsed="false">
      <c r="A212" s="53" t="s">
        <v>247</v>
      </c>
      <c r="B212" s="53" t="s">
        <v>97</v>
      </c>
      <c r="C212" s="53" t="n">
        <v>3</v>
      </c>
      <c r="D212" s="53" t="s">
        <v>236</v>
      </c>
      <c r="E212" s="54" t="n">
        <v>-34</v>
      </c>
    </row>
    <row r="213" customFormat="false" ht="15" hidden="false" customHeight="false" outlineLevel="0" collapsed="false">
      <c r="A213" s="53" t="s">
        <v>247</v>
      </c>
      <c r="B213" s="53" t="s">
        <v>97</v>
      </c>
      <c r="C213" s="53" t="n">
        <v>4</v>
      </c>
      <c r="D213" s="53" t="s">
        <v>237</v>
      </c>
      <c r="E213" s="54" t="n">
        <v>-34</v>
      </c>
    </row>
    <row r="214" customFormat="false" ht="15" hidden="false" customHeight="false" outlineLevel="0" collapsed="false">
      <c r="A214" s="53" t="s">
        <v>247</v>
      </c>
      <c r="B214" s="53" t="s">
        <v>97</v>
      </c>
      <c r="C214" s="53" t="n">
        <v>5</v>
      </c>
      <c r="D214" s="53" t="s">
        <v>238</v>
      </c>
      <c r="E214" s="54" t="n">
        <v>-34</v>
      </c>
    </row>
    <row r="215" customFormat="false" ht="15" hidden="false" customHeight="false" outlineLevel="0" collapsed="false">
      <c r="A215" s="53" t="s">
        <v>247</v>
      </c>
      <c r="B215" s="53" t="s">
        <v>97</v>
      </c>
      <c r="C215" s="53" t="n">
        <v>6</v>
      </c>
      <c r="D215" s="53" t="s">
        <v>239</v>
      </c>
      <c r="E215" s="54" t="n">
        <v>-35</v>
      </c>
    </row>
    <row r="216" customFormat="false" ht="15" hidden="false" customHeight="false" outlineLevel="0" collapsed="false">
      <c r="A216" s="53" t="s">
        <v>233</v>
      </c>
      <c r="B216" s="53" t="s">
        <v>101</v>
      </c>
      <c r="C216" s="53" t="n">
        <v>1</v>
      </c>
      <c r="D216" s="53" t="s">
        <v>234</v>
      </c>
      <c r="E216" s="54" t="n">
        <v>-20</v>
      </c>
    </row>
    <row r="217" customFormat="false" ht="15" hidden="false" customHeight="false" outlineLevel="0" collapsed="false">
      <c r="A217" s="53" t="s">
        <v>233</v>
      </c>
      <c r="B217" s="53" t="s">
        <v>101</v>
      </c>
      <c r="C217" s="53" t="n">
        <v>2</v>
      </c>
      <c r="D217" s="53" t="s">
        <v>235</v>
      </c>
      <c r="E217" s="54" t="n">
        <v>-20</v>
      </c>
    </row>
    <row r="218" customFormat="false" ht="15" hidden="false" customHeight="false" outlineLevel="0" collapsed="false">
      <c r="A218" s="53" t="s">
        <v>233</v>
      </c>
      <c r="B218" s="53" t="s">
        <v>101</v>
      </c>
      <c r="C218" s="53" t="n">
        <v>3</v>
      </c>
      <c r="D218" s="53" t="s">
        <v>236</v>
      </c>
      <c r="E218" s="54" t="n">
        <v>-20</v>
      </c>
    </row>
    <row r="219" customFormat="false" ht="15" hidden="false" customHeight="false" outlineLevel="0" collapsed="false">
      <c r="A219" s="53" t="s">
        <v>233</v>
      </c>
      <c r="B219" s="53" t="s">
        <v>101</v>
      </c>
      <c r="C219" s="53" t="n">
        <v>4</v>
      </c>
      <c r="D219" s="53" t="s">
        <v>237</v>
      </c>
      <c r="E219" s="54" t="n">
        <v>-20</v>
      </c>
    </row>
    <row r="220" customFormat="false" ht="15" hidden="false" customHeight="false" outlineLevel="0" collapsed="false">
      <c r="A220" s="53" t="s">
        <v>233</v>
      </c>
      <c r="B220" s="53" t="s">
        <v>101</v>
      </c>
      <c r="C220" s="53" t="n">
        <v>5</v>
      </c>
      <c r="D220" s="53" t="s">
        <v>238</v>
      </c>
      <c r="E220" s="54" t="n">
        <v>-20</v>
      </c>
    </row>
    <row r="221" customFormat="false" ht="15" hidden="false" customHeight="false" outlineLevel="0" collapsed="false">
      <c r="A221" s="53" t="s">
        <v>233</v>
      </c>
      <c r="B221" s="53" t="s">
        <v>101</v>
      </c>
      <c r="C221" s="53" t="n">
        <v>6</v>
      </c>
      <c r="D221" s="53" t="s">
        <v>239</v>
      </c>
      <c r="E221" s="54" t="n">
        <v>-20</v>
      </c>
    </row>
    <row r="222" customFormat="false" ht="15" hidden="false" customHeight="false" outlineLevel="0" collapsed="false">
      <c r="A222" s="53" t="s">
        <v>233</v>
      </c>
      <c r="B222" s="53" t="s">
        <v>101</v>
      </c>
      <c r="C222" s="53" t="n">
        <v>7</v>
      </c>
      <c r="D222" s="53" t="s">
        <v>240</v>
      </c>
      <c r="E222" s="54" t="n">
        <v>-20</v>
      </c>
    </row>
    <row r="223" customFormat="false" ht="15" hidden="false" customHeight="false" outlineLevel="0" collapsed="false">
      <c r="A223" s="53" t="s">
        <v>233</v>
      </c>
      <c r="B223" s="53" t="s">
        <v>101</v>
      </c>
      <c r="C223" s="53" t="n">
        <v>8</v>
      </c>
      <c r="D223" s="53" t="s">
        <v>241</v>
      </c>
      <c r="E223" s="54" t="n">
        <v>-20</v>
      </c>
    </row>
    <row r="224" customFormat="false" ht="15" hidden="false" customHeight="false" outlineLevel="0" collapsed="false">
      <c r="A224" s="53" t="s">
        <v>233</v>
      </c>
      <c r="B224" s="53" t="s">
        <v>101</v>
      </c>
      <c r="C224" s="53" t="n">
        <v>9</v>
      </c>
      <c r="D224" s="53" t="s">
        <v>242</v>
      </c>
      <c r="E224" s="54" t="n">
        <v>-20</v>
      </c>
    </row>
    <row r="225" customFormat="false" ht="15" hidden="false" customHeight="false" outlineLevel="0" collapsed="false">
      <c r="A225" s="53" t="s">
        <v>233</v>
      </c>
      <c r="B225" s="53" t="s">
        <v>101</v>
      </c>
      <c r="C225" s="53" t="n">
        <v>10</v>
      </c>
      <c r="D225" s="53" t="s">
        <v>243</v>
      </c>
      <c r="E225" s="54" t="n">
        <v>-20</v>
      </c>
    </row>
    <row r="226" customFormat="false" ht="15" hidden="false" customHeight="false" outlineLevel="0" collapsed="false">
      <c r="A226" s="53" t="s">
        <v>233</v>
      </c>
      <c r="B226" s="53" t="s">
        <v>101</v>
      </c>
      <c r="C226" s="53" t="n">
        <v>11</v>
      </c>
      <c r="D226" s="53" t="s">
        <v>244</v>
      </c>
      <c r="E226" s="54" t="n">
        <v>-20</v>
      </c>
    </row>
    <row r="227" customFormat="false" ht="15" hidden="false" customHeight="false" outlineLevel="0" collapsed="false">
      <c r="A227" s="53" t="s">
        <v>233</v>
      </c>
      <c r="B227" s="53" t="s">
        <v>101</v>
      </c>
      <c r="C227" s="53" t="n">
        <v>12</v>
      </c>
      <c r="D227" s="53" t="s">
        <v>245</v>
      </c>
      <c r="E227" s="54" t="n">
        <v>-18</v>
      </c>
    </row>
    <row r="228" customFormat="false" ht="15" hidden="false" customHeight="false" outlineLevel="0" collapsed="false">
      <c r="A228" s="53" t="s">
        <v>246</v>
      </c>
      <c r="B228" s="53" t="s">
        <v>101</v>
      </c>
      <c r="C228" s="53" t="n">
        <v>1</v>
      </c>
      <c r="D228" s="53" t="s">
        <v>234</v>
      </c>
      <c r="E228" s="54" t="n">
        <v>-21</v>
      </c>
    </row>
    <row r="229" customFormat="false" ht="15" hidden="false" customHeight="false" outlineLevel="0" collapsed="false">
      <c r="A229" s="53" t="s">
        <v>246</v>
      </c>
      <c r="B229" s="53" t="s">
        <v>101</v>
      </c>
      <c r="C229" s="53" t="n">
        <v>2</v>
      </c>
      <c r="D229" s="53" t="s">
        <v>235</v>
      </c>
      <c r="E229" s="54" t="n">
        <v>-21</v>
      </c>
    </row>
    <row r="230" customFormat="false" ht="15" hidden="false" customHeight="false" outlineLevel="0" collapsed="false">
      <c r="A230" s="53" t="s">
        <v>246</v>
      </c>
      <c r="B230" s="53" t="s">
        <v>101</v>
      </c>
      <c r="C230" s="53" t="n">
        <v>3</v>
      </c>
      <c r="D230" s="53" t="s">
        <v>236</v>
      </c>
      <c r="E230" s="54" t="n">
        <v>-21</v>
      </c>
    </row>
    <row r="231" customFormat="false" ht="15" hidden="false" customHeight="false" outlineLevel="0" collapsed="false">
      <c r="A231" s="53" t="s">
        <v>246</v>
      </c>
      <c r="B231" s="53" t="s">
        <v>101</v>
      </c>
      <c r="C231" s="53" t="n">
        <v>4</v>
      </c>
      <c r="D231" s="53" t="s">
        <v>237</v>
      </c>
      <c r="E231" s="54" t="n">
        <v>-21</v>
      </c>
    </row>
    <row r="232" customFormat="false" ht="15" hidden="false" customHeight="false" outlineLevel="0" collapsed="false">
      <c r="A232" s="53" t="s">
        <v>246</v>
      </c>
      <c r="B232" s="53" t="s">
        <v>101</v>
      </c>
      <c r="C232" s="53" t="n">
        <v>5</v>
      </c>
      <c r="D232" s="53" t="s">
        <v>238</v>
      </c>
      <c r="E232" s="54" t="n">
        <v>-21</v>
      </c>
    </row>
    <row r="233" customFormat="false" ht="15" hidden="false" customHeight="false" outlineLevel="0" collapsed="false">
      <c r="A233" s="53" t="s">
        <v>246</v>
      </c>
      <c r="B233" s="53" t="s">
        <v>101</v>
      </c>
      <c r="C233" s="53" t="n">
        <v>6</v>
      </c>
      <c r="D233" s="53" t="s">
        <v>239</v>
      </c>
      <c r="E233" s="54" t="n">
        <v>-21</v>
      </c>
    </row>
    <row r="234" customFormat="false" ht="15" hidden="false" customHeight="false" outlineLevel="0" collapsed="false">
      <c r="A234" s="53" t="s">
        <v>246</v>
      </c>
      <c r="B234" s="53" t="s">
        <v>101</v>
      </c>
      <c r="C234" s="53" t="n">
        <v>7</v>
      </c>
      <c r="D234" s="53" t="s">
        <v>240</v>
      </c>
      <c r="E234" s="54" t="n">
        <v>-21</v>
      </c>
    </row>
    <row r="235" customFormat="false" ht="15" hidden="false" customHeight="false" outlineLevel="0" collapsed="false">
      <c r="A235" s="53" t="s">
        <v>246</v>
      </c>
      <c r="B235" s="53" t="s">
        <v>101</v>
      </c>
      <c r="C235" s="53" t="n">
        <v>8</v>
      </c>
      <c r="D235" s="53" t="s">
        <v>241</v>
      </c>
      <c r="E235" s="54" t="n">
        <v>-21</v>
      </c>
    </row>
    <row r="236" customFormat="false" ht="15" hidden="false" customHeight="false" outlineLevel="0" collapsed="false">
      <c r="A236" s="53" t="s">
        <v>246</v>
      </c>
      <c r="B236" s="53" t="s">
        <v>101</v>
      </c>
      <c r="C236" s="53" t="n">
        <v>9</v>
      </c>
      <c r="D236" s="53" t="s">
        <v>242</v>
      </c>
      <c r="E236" s="54" t="n">
        <v>-21</v>
      </c>
    </row>
    <row r="237" customFormat="false" ht="15" hidden="false" customHeight="false" outlineLevel="0" collapsed="false">
      <c r="A237" s="53" t="s">
        <v>246</v>
      </c>
      <c r="B237" s="53" t="s">
        <v>101</v>
      </c>
      <c r="C237" s="53" t="n">
        <v>10</v>
      </c>
      <c r="D237" s="53" t="s">
        <v>243</v>
      </c>
      <c r="E237" s="54" t="n">
        <v>-21</v>
      </c>
    </row>
    <row r="238" customFormat="false" ht="15" hidden="false" customHeight="false" outlineLevel="0" collapsed="false">
      <c r="A238" s="53" t="s">
        <v>246</v>
      </c>
      <c r="B238" s="53" t="s">
        <v>101</v>
      </c>
      <c r="C238" s="53" t="n">
        <v>11</v>
      </c>
      <c r="D238" s="53" t="s">
        <v>244</v>
      </c>
      <c r="E238" s="54" t="n">
        <v>-21</v>
      </c>
    </row>
    <row r="239" customFormat="false" ht="15" hidden="false" customHeight="false" outlineLevel="0" collapsed="false">
      <c r="A239" s="53" t="s">
        <v>246</v>
      </c>
      <c r="B239" s="53" t="s">
        <v>101</v>
      </c>
      <c r="C239" s="53" t="n">
        <v>12</v>
      </c>
      <c r="D239" s="53" t="s">
        <v>245</v>
      </c>
      <c r="E239" s="54" t="n">
        <v>-24</v>
      </c>
    </row>
    <row r="240" customFormat="false" ht="15" hidden="false" customHeight="false" outlineLevel="0" collapsed="false">
      <c r="A240" s="53" t="s">
        <v>247</v>
      </c>
      <c r="B240" s="53" t="s">
        <v>101</v>
      </c>
      <c r="C240" s="53" t="n">
        <v>1</v>
      </c>
      <c r="D240" s="53" t="s">
        <v>234</v>
      </c>
      <c r="E240" s="54" t="n">
        <v>-22</v>
      </c>
    </row>
    <row r="241" customFormat="false" ht="15" hidden="false" customHeight="false" outlineLevel="0" collapsed="false">
      <c r="A241" s="53" t="s">
        <v>247</v>
      </c>
      <c r="B241" s="53" t="s">
        <v>101</v>
      </c>
      <c r="C241" s="53" t="n">
        <v>2</v>
      </c>
      <c r="D241" s="53" t="s">
        <v>235</v>
      </c>
      <c r="E241" s="54" t="n">
        <v>-22</v>
      </c>
    </row>
    <row r="242" customFormat="false" ht="15" hidden="false" customHeight="false" outlineLevel="0" collapsed="false">
      <c r="A242" s="53" t="s">
        <v>247</v>
      </c>
      <c r="B242" s="53" t="s">
        <v>101</v>
      </c>
      <c r="C242" s="53" t="n">
        <v>3</v>
      </c>
      <c r="D242" s="53" t="s">
        <v>236</v>
      </c>
      <c r="E242" s="54" t="n">
        <v>-22</v>
      </c>
    </row>
    <row r="243" customFormat="false" ht="15" hidden="false" customHeight="false" outlineLevel="0" collapsed="false">
      <c r="A243" s="53" t="s">
        <v>247</v>
      </c>
      <c r="B243" s="53" t="s">
        <v>101</v>
      </c>
      <c r="C243" s="53" t="n">
        <v>4</v>
      </c>
      <c r="D243" s="53" t="s">
        <v>237</v>
      </c>
      <c r="E243" s="54" t="n">
        <v>-22</v>
      </c>
    </row>
    <row r="244" customFormat="false" ht="15" hidden="false" customHeight="false" outlineLevel="0" collapsed="false">
      <c r="A244" s="53" t="s">
        <v>247</v>
      </c>
      <c r="B244" s="53" t="s">
        <v>101</v>
      </c>
      <c r="C244" s="53" t="n">
        <v>5</v>
      </c>
      <c r="D244" s="53" t="s">
        <v>238</v>
      </c>
      <c r="E244" s="54" t="n">
        <v>-22</v>
      </c>
    </row>
    <row r="245" customFormat="false" ht="15" hidden="false" customHeight="false" outlineLevel="0" collapsed="false">
      <c r="A245" s="53" t="s">
        <v>247</v>
      </c>
      <c r="B245" s="53" t="s">
        <v>101</v>
      </c>
      <c r="C245" s="53" t="n">
        <v>6</v>
      </c>
      <c r="D245" s="53" t="s">
        <v>239</v>
      </c>
      <c r="E245" s="54" t="n">
        <v>-19</v>
      </c>
    </row>
    <row r="246" customFormat="false" ht="15" hidden="false" customHeight="false" outlineLevel="0" collapsed="false">
      <c r="A246" s="53" t="s">
        <v>233</v>
      </c>
      <c r="B246" s="53" t="s">
        <v>103</v>
      </c>
      <c r="C246" s="53" t="n">
        <v>1</v>
      </c>
      <c r="D246" s="53" t="s">
        <v>234</v>
      </c>
      <c r="E246" s="54" t="n">
        <v>-7</v>
      </c>
    </row>
    <row r="247" customFormat="false" ht="15" hidden="false" customHeight="false" outlineLevel="0" collapsed="false">
      <c r="A247" s="53" t="s">
        <v>233</v>
      </c>
      <c r="B247" s="53" t="s">
        <v>103</v>
      </c>
      <c r="C247" s="53" t="n">
        <v>2</v>
      </c>
      <c r="D247" s="53" t="s">
        <v>235</v>
      </c>
      <c r="E247" s="54" t="n">
        <v>-7</v>
      </c>
    </row>
    <row r="248" customFormat="false" ht="15" hidden="false" customHeight="false" outlineLevel="0" collapsed="false">
      <c r="A248" s="53" t="s">
        <v>233</v>
      </c>
      <c r="B248" s="53" t="s">
        <v>103</v>
      </c>
      <c r="C248" s="53" t="n">
        <v>3</v>
      </c>
      <c r="D248" s="53" t="s">
        <v>236</v>
      </c>
      <c r="E248" s="54" t="n">
        <v>-7</v>
      </c>
    </row>
    <row r="249" customFormat="false" ht="15" hidden="false" customHeight="false" outlineLevel="0" collapsed="false">
      <c r="A249" s="53" t="s">
        <v>233</v>
      </c>
      <c r="B249" s="53" t="s">
        <v>103</v>
      </c>
      <c r="C249" s="53" t="n">
        <v>4</v>
      </c>
      <c r="D249" s="53" t="s">
        <v>237</v>
      </c>
      <c r="E249" s="54" t="n">
        <v>-7</v>
      </c>
    </row>
    <row r="250" customFormat="false" ht="15" hidden="false" customHeight="false" outlineLevel="0" collapsed="false">
      <c r="A250" s="53" t="s">
        <v>233</v>
      </c>
      <c r="B250" s="53" t="s">
        <v>103</v>
      </c>
      <c r="C250" s="53" t="n">
        <v>5</v>
      </c>
      <c r="D250" s="53" t="s">
        <v>238</v>
      </c>
      <c r="E250" s="54" t="n">
        <v>-7</v>
      </c>
    </row>
    <row r="251" customFormat="false" ht="15" hidden="false" customHeight="false" outlineLevel="0" collapsed="false">
      <c r="A251" s="53" t="s">
        <v>233</v>
      </c>
      <c r="B251" s="53" t="s">
        <v>103</v>
      </c>
      <c r="C251" s="53" t="n">
        <v>6</v>
      </c>
      <c r="D251" s="53" t="s">
        <v>239</v>
      </c>
      <c r="E251" s="54" t="n">
        <v>-7</v>
      </c>
    </row>
    <row r="252" customFormat="false" ht="15" hidden="false" customHeight="false" outlineLevel="0" collapsed="false">
      <c r="A252" s="53" t="s">
        <v>233</v>
      </c>
      <c r="B252" s="53" t="s">
        <v>103</v>
      </c>
      <c r="C252" s="53" t="n">
        <v>7</v>
      </c>
      <c r="D252" s="53" t="s">
        <v>240</v>
      </c>
      <c r="E252" s="54" t="n">
        <v>-7</v>
      </c>
    </row>
    <row r="253" customFormat="false" ht="15" hidden="false" customHeight="false" outlineLevel="0" collapsed="false">
      <c r="A253" s="53" t="s">
        <v>233</v>
      </c>
      <c r="B253" s="53" t="s">
        <v>103</v>
      </c>
      <c r="C253" s="53" t="n">
        <v>8</v>
      </c>
      <c r="D253" s="53" t="s">
        <v>241</v>
      </c>
      <c r="E253" s="54" t="n">
        <v>-7</v>
      </c>
    </row>
    <row r="254" customFormat="false" ht="15" hidden="false" customHeight="false" outlineLevel="0" collapsed="false">
      <c r="A254" s="53" t="s">
        <v>233</v>
      </c>
      <c r="B254" s="53" t="s">
        <v>103</v>
      </c>
      <c r="C254" s="53" t="n">
        <v>9</v>
      </c>
      <c r="D254" s="53" t="s">
        <v>242</v>
      </c>
      <c r="E254" s="54" t="n">
        <v>-7</v>
      </c>
    </row>
    <row r="255" customFormat="false" ht="15" hidden="false" customHeight="false" outlineLevel="0" collapsed="false">
      <c r="A255" s="53" t="s">
        <v>233</v>
      </c>
      <c r="B255" s="53" t="s">
        <v>103</v>
      </c>
      <c r="C255" s="53" t="n">
        <v>10</v>
      </c>
      <c r="D255" s="53" t="s">
        <v>243</v>
      </c>
      <c r="E255" s="54" t="n">
        <v>-7</v>
      </c>
    </row>
    <row r="256" customFormat="false" ht="15" hidden="false" customHeight="false" outlineLevel="0" collapsed="false">
      <c r="A256" s="53" t="s">
        <v>233</v>
      </c>
      <c r="B256" s="53" t="s">
        <v>103</v>
      </c>
      <c r="C256" s="53" t="n">
        <v>11</v>
      </c>
      <c r="D256" s="53" t="s">
        <v>244</v>
      </c>
      <c r="E256" s="54" t="n">
        <v>-7</v>
      </c>
    </row>
    <row r="257" customFormat="false" ht="15" hidden="false" customHeight="false" outlineLevel="0" collapsed="false">
      <c r="A257" s="53" t="s">
        <v>233</v>
      </c>
      <c r="B257" s="53" t="s">
        <v>103</v>
      </c>
      <c r="C257" s="53" t="n">
        <v>12</v>
      </c>
      <c r="D257" s="53" t="s">
        <v>245</v>
      </c>
      <c r="E257" s="54" t="n">
        <v>-11</v>
      </c>
    </row>
    <row r="258" customFormat="false" ht="15" hidden="false" customHeight="false" outlineLevel="0" collapsed="false">
      <c r="A258" s="53" t="s">
        <v>246</v>
      </c>
      <c r="B258" s="53" t="s">
        <v>103</v>
      </c>
      <c r="C258" s="53" t="n">
        <v>1</v>
      </c>
      <c r="D258" s="53" t="s">
        <v>234</v>
      </c>
      <c r="E258" s="54" t="n">
        <v>-7</v>
      </c>
    </row>
    <row r="259" customFormat="false" ht="15" hidden="false" customHeight="false" outlineLevel="0" collapsed="false">
      <c r="A259" s="53" t="s">
        <v>246</v>
      </c>
      <c r="B259" s="53" t="s">
        <v>103</v>
      </c>
      <c r="C259" s="53" t="n">
        <v>2</v>
      </c>
      <c r="D259" s="53" t="s">
        <v>235</v>
      </c>
      <c r="E259" s="54" t="n">
        <v>-7</v>
      </c>
    </row>
    <row r="260" customFormat="false" ht="15" hidden="false" customHeight="false" outlineLevel="0" collapsed="false">
      <c r="A260" s="53" t="s">
        <v>246</v>
      </c>
      <c r="B260" s="53" t="s">
        <v>103</v>
      </c>
      <c r="C260" s="53" t="n">
        <v>3</v>
      </c>
      <c r="D260" s="53" t="s">
        <v>236</v>
      </c>
      <c r="E260" s="54" t="n">
        <v>-7</v>
      </c>
    </row>
    <row r="261" customFormat="false" ht="15" hidden="false" customHeight="false" outlineLevel="0" collapsed="false">
      <c r="A261" s="53" t="s">
        <v>246</v>
      </c>
      <c r="B261" s="53" t="s">
        <v>103</v>
      </c>
      <c r="C261" s="53" t="n">
        <v>4</v>
      </c>
      <c r="D261" s="53" t="s">
        <v>237</v>
      </c>
      <c r="E261" s="54" t="n">
        <v>-7</v>
      </c>
    </row>
    <row r="262" customFormat="false" ht="15" hidden="false" customHeight="false" outlineLevel="0" collapsed="false">
      <c r="A262" s="53" t="s">
        <v>246</v>
      </c>
      <c r="B262" s="53" t="s">
        <v>103</v>
      </c>
      <c r="C262" s="53" t="n">
        <v>5</v>
      </c>
      <c r="D262" s="53" t="s">
        <v>238</v>
      </c>
      <c r="E262" s="54" t="n">
        <v>-7</v>
      </c>
    </row>
    <row r="263" customFormat="false" ht="15" hidden="false" customHeight="false" outlineLevel="0" collapsed="false">
      <c r="A263" s="53" t="s">
        <v>246</v>
      </c>
      <c r="B263" s="53" t="s">
        <v>103</v>
      </c>
      <c r="C263" s="53" t="n">
        <v>6</v>
      </c>
      <c r="D263" s="53" t="s">
        <v>239</v>
      </c>
      <c r="E263" s="54" t="n">
        <v>-7</v>
      </c>
    </row>
    <row r="264" customFormat="false" ht="15" hidden="false" customHeight="false" outlineLevel="0" collapsed="false">
      <c r="A264" s="53" t="s">
        <v>246</v>
      </c>
      <c r="B264" s="53" t="s">
        <v>103</v>
      </c>
      <c r="C264" s="53" t="n">
        <v>7</v>
      </c>
      <c r="D264" s="53" t="s">
        <v>240</v>
      </c>
      <c r="E264" s="54" t="n">
        <v>-7</v>
      </c>
    </row>
    <row r="265" customFormat="false" ht="15" hidden="false" customHeight="false" outlineLevel="0" collapsed="false">
      <c r="A265" s="53" t="s">
        <v>246</v>
      </c>
      <c r="B265" s="53" t="s">
        <v>103</v>
      </c>
      <c r="C265" s="53" t="n">
        <v>8</v>
      </c>
      <c r="D265" s="53" t="s">
        <v>241</v>
      </c>
      <c r="E265" s="54" t="n">
        <v>-7</v>
      </c>
    </row>
    <row r="266" customFormat="false" ht="15" hidden="false" customHeight="false" outlineLevel="0" collapsed="false">
      <c r="A266" s="53" t="s">
        <v>246</v>
      </c>
      <c r="B266" s="53" t="s">
        <v>103</v>
      </c>
      <c r="C266" s="53" t="n">
        <v>9</v>
      </c>
      <c r="D266" s="53" t="s">
        <v>242</v>
      </c>
      <c r="E266" s="54" t="n">
        <v>-7</v>
      </c>
    </row>
    <row r="267" customFormat="false" ht="15" hidden="false" customHeight="false" outlineLevel="0" collapsed="false">
      <c r="A267" s="53" t="s">
        <v>246</v>
      </c>
      <c r="B267" s="53" t="s">
        <v>103</v>
      </c>
      <c r="C267" s="53" t="n">
        <v>10</v>
      </c>
      <c r="D267" s="53" t="s">
        <v>243</v>
      </c>
      <c r="E267" s="54" t="n">
        <v>-7</v>
      </c>
    </row>
    <row r="268" customFormat="false" ht="15" hidden="false" customHeight="false" outlineLevel="0" collapsed="false">
      <c r="A268" s="53" t="s">
        <v>246</v>
      </c>
      <c r="B268" s="53" t="s">
        <v>103</v>
      </c>
      <c r="C268" s="53" t="n">
        <v>11</v>
      </c>
      <c r="D268" s="53" t="s">
        <v>244</v>
      </c>
      <c r="E268" s="54" t="n">
        <v>-7</v>
      </c>
    </row>
    <row r="269" customFormat="false" ht="15" hidden="false" customHeight="false" outlineLevel="0" collapsed="false">
      <c r="A269" s="53" t="s">
        <v>246</v>
      </c>
      <c r="B269" s="53" t="s">
        <v>103</v>
      </c>
      <c r="C269" s="53" t="n">
        <v>12</v>
      </c>
      <c r="D269" s="53" t="s">
        <v>245</v>
      </c>
      <c r="E269" s="54" t="n">
        <v>-8</v>
      </c>
    </row>
    <row r="270" customFormat="false" ht="15" hidden="false" customHeight="false" outlineLevel="0" collapsed="false">
      <c r="A270" s="53" t="s">
        <v>247</v>
      </c>
      <c r="B270" s="53" t="s">
        <v>103</v>
      </c>
      <c r="C270" s="53" t="n">
        <v>1</v>
      </c>
      <c r="D270" s="53" t="s">
        <v>234</v>
      </c>
      <c r="E270" s="54" t="n">
        <v>-7</v>
      </c>
    </row>
    <row r="271" customFormat="false" ht="15" hidden="false" customHeight="false" outlineLevel="0" collapsed="false">
      <c r="A271" s="53" t="s">
        <v>247</v>
      </c>
      <c r="B271" s="53" t="s">
        <v>103</v>
      </c>
      <c r="C271" s="53" t="n">
        <v>2</v>
      </c>
      <c r="D271" s="53" t="s">
        <v>235</v>
      </c>
      <c r="E271" s="54" t="n">
        <v>-7</v>
      </c>
    </row>
    <row r="272" customFormat="false" ht="15" hidden="false" customHeight="false" outlineLevel="0" collapsed="false">
      <c r="A272" s="53" t="s">
        <v>247</v>
      </c>
      <c r="B272" s="53" t="s">
        <v>103</v>
      </c>
      <c r="C272" s="53" t="n">
        <v>3</v>
      </c>
      <c r="D272" s="53" t="s">
        <v>236</v>
      </c>
      <c r="E272" s="54" t="n">
        <v>-7</v>
      </c>
    </row>
    <row r="273" customFormat="false" ht="15" hidden="false" customHeight="false" outlineLevel="0" collapsed="false">
      <c r="A273" s="53" t="s">
        <v>247</v>
      </c>
      <c r="B273" s="53" t="s">
        <v>103</v>
      </c>
      <c r="C273" s="53" t="n">
        <v>4</v>
      </c>
      <c r="D273" s="53" t="s">
        <v>237</v>
      </c>
      <c r="E273" s="54" t="n">
        <v>-7</v>
      </c>
    </row>
    <row r="274" customFormat="false" ht="15" hidden="false" customHeight="false" outlineLevel="0" collapsed="false">
      <c r="A274" s="53" t="s">
        <v>247</v>
      </c>
      <c r="B274" s="53" t="s">
        <v>103</v>
      </c>
      <c r="C274" s="53" t="n">
        <v>5</v>
      </c>
      <c r="D274" s="53" t="s">
        <v>238</v>
      </c>
      <c r="E274" s="54" t="n">
        <v>-7</v>
      </c>
    </row>
    <row r="275" customFormat="false" ht="15" hidden="false" customHeight="false" outlineLevel="0" collapsed="false">
      <c r="A275" s="53" t="s">
        <v>247</v>
      </c>
      <c r="B275" s="53" t="s">
        <v>103</v>
      </c>
      <c r="C275" s="53" t="n">
        <v>6</v>
      </c>
      <c r="D275" s="53" t="s">
        <v>239</v>
      </c>
      <c r="E275" s="54" t="n">
        <v>-9</v>
      </c>
    </row>
    <row r="276" customFormat="false" ht="15" hidden="false" customHeight="false" outlineLevel="0" collapsed="false">
      <c r="A276" s="53" t="s">
        <v>233</v>
      </c>
      <c r="B276" s="53" t="s">
        <v>105</v>
      </c>
      <c r="C276" s="53" t="n">
        <v>1</v>
      </c>
      <c r="D276" s="53" t="s">
        <v>234</v>
      </c>
      <c r="E276" s="54" t="n">
        <v>-6</v>
      </c>
    </row>
    <row r="277" customFormat="false" ht="15" hidden="false" customHeight="false" outlineLevel="0" collapsed="false">
      <c r="A277" s="53" t="s">
        <v>233</v>
      </c>
      <c r="B277" s="53" t="s">
        <v>105</v>
      </c>
      <c r="C277" s="53" t="n">
        <v>2</v>
      </c>
      <c r="D277" s="53" t="s">
        <v>235</v>
      </c>
      <c r="E277" s="54" t="n">
        <v>-6</v>
      </c>
    </row>
    <row r="278" customFormat="false" ht="15" hidden="false" customHeight="false" outlineLevel="0" collapsed="false">
      <c r="A278" s="53" t="s">
        <v>233</v>
      </c>
      <c r="B278" s="53" t="s">
        <v>105</v>
      </c>
      <c r="C278" s="53" t="n">
        <v>3</v>
      </c>
      <c r="D278" s="53" t="s">
        <v>236</v>
      </c>
      <c r="E278" s="54" t="n">
        <v>-6</v>
      </c>
    </row>
    <row r="279" customFormat="false" ht="15" hidden="false" customHeight="false" outlineLevel="0" collapsed="false">
      <c r="A279" s="53" t="s">
        <v>233</v>
      </c>
      <c r="B279" s="53" t="s">
        <v>105</v>
      </c>
      <c r="C279" s="53" t="n">
        <v>4</v>
      </c>
      <c r="D279" s="53" t="s">
        <v>237</v>
      </c>
      <c r="E279" s="54" t="n">
        <v>-6</v>
      </c>
    </row>
    <row r="280" customFormat="false" ht="15" hidden="false" customHeight="false" outlineLevel="0" collapsed="false">
      <c r="A280" s="53" t="s">
        <v>233</v>
      </c>
      <c r="B280" s="53" t="s">
        <v>105</v>
      </c>
      <c r="C280" s="53" t="n">
        <v>5</v>
      </c>
      <c r="D280" s="53" t="s">
        <v>238</v>
      </c>
      <c r="E280" s="54" t="n">
        <v>-6</v>
      </c>
    </row>
    <row r="281" customFormat="false" ht="15" hidden="false" customHeight="false" outlineLevel="0" collapsed="false">
      <c r="A281" s="53" t="s">
        <v>233</v>
      </c>
      <c r="B281" s="53" t="s">
        <v>105</v>
      </c>
      <c r="C281" s="53" t="n">
        <v>6</v>
      </c>
      <c r="D281" s="53" t="s">
        <v>239</v>
      </c>
      <c r="E281" s="54" t="n">
        <v>-6</v>
      </c>
    </row>
    <row r="282" customFormat="false" ht="15" hidden="false" customHeight="false" outlineLevel="0" collapsed="false">
      <c r="A282" s="53" t="s">
        <v>233</v>
      </c>
      <c r="B282" s="53" t="s">
        <v>105</v>
      </c>
      <c r="C282" s="53" t="n">
        <v>7</v>
      </c>
      <c r="D282" s="53" t="s">
        <v>240</v>
      </c>
      <c r="E282" s="54" t="n">
        <v>-6</v>
      </c>
    </row>
    <row r="283" customFormat="false" ht="15" hidden="false" customHeight="false" outlineLevel="0" collapsed="false">
      <c r="A283" s="53" t="s">
        <v>233</v>
      </c>
      <c r="B283" s="53" t="s">
        <v>105</v>
      </c>
      <c r="C283" s="53" t="n">
        <v>8</v>
      </c>
      <c r="D283" s="53" t="s">
        <v>241</v>
      </c>
      <c r="E283" s="54" t="n">
        <v>-6</v>
      </c>
    </row>
    <row r="284" customFormat="false" ht="15" hidden="false" customHeight="false" outlineLevel="0" collapsed="false">
      <c r="A284" s="53" t="s">
        <v>233</v>
      </c>
      <c r="B284" s="53" t="s">
        <v>105</v>
      </c>
      <c r="C284" s="53" t="n">
        <v>9</v>
      </c>
      <c r="D284" s="53" t="s">
        <v>242</v>
      </c>
      <c r="E284" s="54" t="n">
        <v>-6</v>
      </c>
    </row>
    <row r="285" customFormat="false" ht="15" hidden="false" customHeight="false" outlineLevel="0" collapsed="false">
      <c r="A285" s="53" t="s">
        <v>233</v>
      </c>
      <c r="B285" s="53" t="s">
        <v>105</v>
      </c>
      <c r="C285" s="53" t="n">
        <v>10</v>
      </c>
      <c r="D285" s="53" t="s">
        <v>243</v>
      </c>
      <c r="E285" s="54" t="n">
        <v>-6</v>
      </c>
    </row>
    <row r="286" customFormat="false" ht="15" hidden="false" customHeight="false" outlineLevel="0" collapsed="false">
      <c r="A286" s="53" t="s">
        <v>233</v>
      </c>
      <c r="B286" s="53" t="s">
        <v>105</v>
      </c>
      <c r="C286" s="53" t="n">
        <v>11</v>
      </c>
      <c r="D286" s="53" t="s">
        <v>244</v>
      </c>
      <c r="E286" s="54" t="n">
        <v>-6</v>
      </c>
    </row>
    <row r="287" customFormat="false" ht="15" hidden="false" customHeight="false" outlineLevel="0" collapsed="false">
      <c r="A287" s="53" t="s">
        <v>233</v>
      </c>
      <c r="B287" s="53" t="s">
        <v>105</v>
      </c>
      <c r="C287" s="53" t="n">
        <v>12</v>
      </c>
      <c r="D287" s="53" t="s">
        <v>245</v>
      </c>
      <c r="E287" s="54" t="n">
        <v>-6</v>
      </c>
    </row>
    <row r="288" customFormat="false" ht="15" hidden="false" customHeight="false" outlineLevel="0" collapsed="false">
      <c r="A288" s="53" t="s">
        <v>246</v>
      </c>
      <c r="B288" s="53" t="s">
        <v>105</v>
      </c>
      <c r="C288" s="53" t="n">
        <v>1</v>
      </c>
      <c r="D288" s="53" t="s">
        <v>234</v>
      </c>
      <c r="E288" s="54" t="n">
        <v>-8</v>
      </c>
    </row>
    <row r="289" customFormat="false" ht="15" hidden="false" customHeight="false" outlineLevel="0" collapsed="false">
      <c r="A289" s="53" t="s">
        <v>246</v>
      </c>
      <c r="B289" s="53" t="s">
        <v>105</v>
      </c>
      <c r="C289" s="53" t="n">
        <v>2</v>
      </c>
      <c r="D289" s="53" t="s">
        <v>235</v>
      </c>
      <c r="E289" s="54" t="n">
        <v>-8</v>
      </c>
    </row>
    <row r="290" customFormat="false" ht="15" hidden="false" customHeight="false" outlineLevel="0" collapsed="false">
      <c r="A290" s="53" t="s">
        <v>246</v>
      </c>
      <c r="B290" s="53" t="s">
        <v>105</v>
      </c>
      <c r="C290" s="53" t="n">
        <v>3</v>
      </c>
      <c r="D290" s="53" t="s">
        <v>236</v>
      </c>
      <c r="E290" s="54" t="n">
        <v>-8</v>
      </c>
    </row>
    <row r="291" customFormat="false" ht="15" hidden="false" customHeight="false" outlineLevel="0" collapsed="false">
      <c r="A291" s="53" t="s">
        <v>246</v>
      </c>
      <c r="B291" s="53" t="s">
        <v>105</v>
      </c>
      <c r="C291" s="53" t="n">
        <v>4</v>
      </c>
      <c r="D291" s="53" t="s">
        <v>237</v>
      </c>
      <c r="E291" s="54" t="n">
        <v>-8</v>
      </c>
    </row>
    <row r="292" customFormat="false" ht="15" hidden="false" customHeight="false" outlineLevel="0" collapsed="false">
      <c r="A292" s="53" t="s">
        <v>246</v>
      </c>
      <c r="B292" s="53" t="s">
        <v>105</v>
      </c>
      <c r="C292" s="53" t="n">
        <v>5</v>
      </c>
      <c r="D292" s="53" t="s">
        <v>238</v>
      </c>
      <c r="E292" s="54" t="n">
        <v>-8</v>
      </c>
    </row>
    <row r="293" customFormat="false" ht="15" hidden="false" customHeight="false" outlineLevel="0" collapsed="false">
      <c r="A293" s="53" t="s">
        <v>246</v>
      </c>
      <c r="B293" s="53" t="s">
        <v>105</v>
      </c>
      <c r="C293" s="53" t="n">
        <v>6</v>
      </c>
      <c r="D293" s="53" t="s">
        <v>239</v>
      </c>
      <c r="E293" s="54" t="n">
        <v>-8</v>
      </c>
    </row>
    <row r="294" customFormat="false" ht="15" hidden="false" customHeight="false" outlineLevel="0" collapsed="false">
      <c r="A294" s="53" t="s">
        <v>246</v>
      </c>
      <c r="B294" s="53" t="s">
        <v>105</v>
      </c>
      <c r="C294" s="53" t="n">
        <v>7</v>
      </c>
      <c r="D294" s="53" t="s">
        <v>240</v>
      </c>
      <c r="E294" s="54" t="n">
        <v>-8</v>
      </c>
    </row>
    <row r="295" customFormat="false" ht="15" hidden="false" customHeight="false" outlineLevel="0" collapsed="false">
      <c r="A295" s="53" t="s">
        <v>246</v>
      </c>
      <c r="B295" s="53" t="s">
        <v>105</v>
      </c>
      <c r="C295" s="53" t="n">
        <v>8</v>
      </c>
      <c r="D295" s="53" t="s">
        <v>241</v>
      </c>
      <c r="E295" s="54" t="n">
        <v>-8</v>
      </c>
    </row>
    <row r="296" customFormat="false" ht="15" hidden="false" customHeight="false" outlineLevel="0" collapsed="false">
      <c r="A296" s="53" t="s">
        <v>246</v>
      </c>
      <c r="B296" s="53" t="s">
        <v>105</v>
      </c>
      <c r="C296" s="53" t="n">
        <v>9</v>
      </c>
      <c r="D296" s="53" t="s">
        <v>242</v>
      </c>
      <c r="E296" s="54" t="n">
        <v>-8</v>
      </c>
    </row>
    <row r="297" customFormat="false" ht="15" hidden="false" customHeight="false" outlineLevel="0" collapsed="false">
      <c r="A297" s="53" t="s">
        <v>246</v>
      </c>
      <c r="B297" s="53" t="s">
        <v>105</v>
      </c>
      <c r="C297" s="53" t="n">
        <v>10</v>
      </c>
      <c r="D297" s="53" t="s">
        <v>243</v>
      </c>
      <c r="E297" s="54" t="n">
        <v>-8</v>
      </c>
    </row>
    <row r="298" customFormat="false" ht="15" hidden="false" customHeight="false" outlineLevel="0" collapsed="false">
      <c r="A298" s="53" t="s">
        <v>246</v>
      </c>
      <c r="B298" s="53" t="s">
        <v>105</v>
      </c>
      <c r="C298" s="53" t="n">
        <v>11</v>
      </c>
      <c r="D298" s="53" t="s">
        <v>244</v>
      </c>
      <c r="E298" s="54" t="n">
        <v>-8</v>
      </c>
    </row>
    <row r="299" customFormat="false" ht="15" hidden="false" customHeight="false" outlineLevel="0" collapsed="false">
      <c r="A299" s="53" t="s">
        <v>246</v>
      </c>
      <c r="B299" s="53" t="s">
        <v>105</v>
      </c>
      <c r="C299" s="53" t="n">
        <v>12</v>
      </c>
      <c r="D299" s="53" t="s">
        <v>245</v>
      </c>
      <c r="E299" s="54" t="n">
        <v>-4</v>
      </c>
    </row>
    <row r="300" customFormat="false" ht="15" hidden="false" customHeight="false" outlineLevel="0" collapsed="false">
      <c r="A300" s="53" t="s">
        <v>247</v>
      </c>
      <c r="B300" s="53" t="s">
        <v>105</v>
      </c>
      <c r="C300" s="53" t="n">
        <v>1</v>
      </c>
      <c r="D300" s="53" t="s">
        <v>234</v>
      </c>
      <c r="E300" s="54" t="n">
        <v>-10</v>
      </c>
    </row>
    <row r="301" customFormat="false" ht="15" hidden="false" customHeight="false" outlineLevel="0" collapsed="false">
      <c r="A301" s="53" t="s">
        <v>247</v>
      </c>
      <c r="B301" s="53" t="s">
        <v>105</v>
      </c>
      <c r="C301" s="53" t="n">
        <v>2</v>
      </c>
      <c r="D301" s="53" t="s">
        <v>235</v>
      </c>
      <c r="E301" s="54" t="n">
        <v>-10</v>
      </c>
    </row>
    <row r="302" customFormat="false" ht="15" hidden="false" customHeight="false" outlineLevel="0" collapsed="false">
      <c r="A302" s="53" t="s">
        <v>247</v>
      </c>
      <c r="B302" s="53" t="s">
        <v>105</v>
      </c>
      <c r="C302" s="53" t="n">
        <v>3</v>
      </c>
      <c r="D302" s="53" t="s">
        <v>236</v>
      </c>
      <c r="E302" s="54" t="n">
        <v>-10</v>
      </c>
    </row>
    <row r="303" customFormat="false" ht="15" hidden="false" customHeight="false" outlineLevel="0" collapsed="false">
      <c r="A303" s="53" t="s">
        <v>247</v>
      </c>
      <c r="B303" s="53" t="s">
        <v>105</v>
      </c>
      <c r="C303" s="53" t="n">
        <v>4</v>
      </c>
      <c r="D303" s="53" t="s">
        <v>237</v>
      </c>
      <c r="E303" s="54" t="n">
        <v>-10</v>
      </c>
    </row>
    <row r="304" customFormat="false" ht="15" hidden="false" customHeight="false" outlineLevel="0" collapsed="false">
      <c r="A304" s="53" t="s">
        <v>247</v>
      </c>
      <c r="B304" s="53" t="s">
        <v>105</v>
      </c>
      <c r="C304" s="53" t="n">
        <v>5</v>
      </c>
      <c r="D304" s="53" t="s">
        <v>238</v>
      </c>
      <c r="E304" s="54" t="n">
        <v>-10</v>
      </c>
    </row>
    <row r="305" customFormat="false" ht="15" hidden="false" customHeight="false" outlineLevel="0" collapsed="false">
      <c r="A305" s="53" t="s">
        <v>247</v>
      </c>
      <c r="B305" s="53" t="s">
        <v>105</v>
      </c>
      <c r="C305" s="53" t="n">
        <v>6</v>
      </c>
      <c r="D305" s="53" t="s">
        <v>239</v>
      </c>
      <c r="E305" s="54" t="n">
        <v>-10</v>
      </c>
    </row>
    <row r="308" customFormat="false" ht="15" hidden="false" customHeight="false" outlineLevel="0" collapsed="false">
      <c r="A308" s="55" t="s">
        <v>248</v>
      </c>
    </row>
    <row r="309" customFormat="false" ht="15" hidden="false" customHeight="false" outlineLevel="0" collapsed="false">
      <c r="A309" s="21" t="s">
        <v>249</v>
      </c>
      <c r="B309" s="21" t="s">
        <v>111</v>
      </c>
      <c r="C309" s="21" t="s">
        <v>112</v>
      </c>
      <c r="D309" s="21" t="s">
        <v>114</v>
      </c>
    </row>
    <row r="310" customFormat="false" ht="15" hidden="false" customHeight="false" outlineLevel="0" collapsed="false">
      <c r="A310" s="53" t="s">
        <v>117</v>
      </c>
      <c r="B310" s="54" t="n">
        <v>654</v>
      </c>
      <c r="C310" s="54" t="n">
        <v>640</v>
      </c>
      <c r="D310" s="54" t="n">
        <v>615</v>
      </c>
    </row>
    <row r="311" customFormat="false" ht="15" hidden="false" customHeight="false" outlineLevel="0" collapsed="false">
      <c r="A311" s="53" t="s">
        <v>118</v>
      </c>
      <c r="B311" s="54" t="n">
        <v>1247</v>
      </c>
      <c r="C311" s="54" t="n">
        <v>1180</v>
      </c>
      <c r="D311" s="54" t="n">
        <v>1095</v>
      </c>
    </row>
    <row r="312" customFormat="false" ht="15" hidden="false" customHeight="false" outlineLevel="0" collapsed="false">
      <c r="A312" s="53" t="s">
        <v>119</v>
      </c>
      <c r="B312" s="54" t="n">
        <v>495</v>
      </c>
      <c r="C312" s="54" t="n">
        <v>520</v>
      </c>
      <c r="D312" s="54" t="n">
        <v>560</v>
      </c>
    </row>
    <row r="313" customFormat="false" ht="15" hidden="false" customHeight="false" outlineLevel="0" collapsed="false">
      <c r="A313" s="53" t="s">
        <v>120</v>
      </c>
      <c r="B313" s="54" t="n">
        <v>85</v>
      </c>
      <c r="C313" s="54" t="n">
        <v>85</v>
      </c>
      <c r="D313" s="54" t="n">
        <v>78</v>
      </c>
    </row>
    <row r="314" customFormat="false" ht="15" hidden="false" customHeight="false" outlineLevel="0" collapsed="false">
      <c r="A314" s="53" t="s">
        <v>123</v>
      </c>
      <c r="B314" s="54" t="n">
        <v>2040</v>
      </c>
      <c r="C314" s="54" t="n">
        <v>1845</v>
      </c>
      <c r="D314" s="54" t="n">
        <v>1720</v>
      </c>
    </row>
    <row r="315" customFormat="false" ht="15" hidden="false" customHeight="false" outlineLevel="0" collapsed="false">
      <c r="A315" s="53" t="s">
        <v>124</v>
      </c>
      <c r="B315" s="54" t="n">
        <v>2455</v>
      </c>
      <c r="C315" s="54" t="n">
        <v>2210</v>
      </c>
      <c r="D315" s="54" t="n">
        <v>2090</v>
      </c>
    </row>
    <row r="316" customFormat="false" ht="15" hidden="false" customHeight="false" outlineLevel="0" collapsed="false">
      <c r="A316" s="53" t="s">
        <v>125</v>
      </c>
      <c r="B316" s="54" t="n">
        <v>320</v>
      </c>
      <c r="C316" s="54" t="n">
        <v>285</v>
      </c>
      <c r="D316" s="54" t="n">
        <v>255</v>
      </c>
    </row>
    <row r="317" customFormat="false" ht="15" hidden="false" customHeight="false" outlineLevel="0" collapsed="false">
      <c r="A317" s="53" t="s">
        <v>126</v>
      </c>
      <c r="B317" s="54" t="n">
        <v>365</v>
      </c>
      <c r="C317" s="54" t="n">
        <v>615</v>
      </c>
      <c r="D317" s="54" t="n">
        <v>640</v>
      </c>
    </row>
    <row r="318" customFormat="false" ht="15" hidden="false" customHeight="false" outlineLevel="0" collapsed="false">
      <c r="A318" s="53" t="s">
        <v>130</v>
      </c>
      <c r="B318" s="54" t="n">
        <v>500</v>
      </c>
      <c r="C318" s="54" t="n">
        <v>500</v>
      </c>
      <c r="D318" s="54" t="n">
        <v>500</v>
      </c>
    </row>
    <row r="319" customFormat="false" ht="15" hidden="false" customHeight="false" outlineLevel="0" collapsed="false">
      <c r="A319" s="53" t="s">
        <v>131</v>
      </c>
      <c r="B319" s="54" t="n">
        <v>2034</v>
      </c>
      <c r="C319" s="54" t="n">
        <v>1742</v>
      </c>
      <c r="D319" s="54" t="n">
        <v>1583</v>
      </c>
    </row>
    <row r="320" customFormat="false" ht="15" hidden="false" customHeight="false" outlineLevel="0" collapsed="false">
      <c r="A320" s="53" t="s">
        <v>134</v>
      </c>
      <c r="B320" s="54" t="n">
        <v>1200</v>
      </c>
      <c r="C320" s="54" t="n">
        <v>1350</v>
      </c>
      <c r="D320" s="54" t="n">
        <v>1500</v>
      </c>
    </row>
    <row r="321" customFormat="false" ht="15" hidden="false" customHeight="false" outlineLevel="0" collapsed="false">
      <c r="A321" s="53" t="s">
        <v>135</v>
      </c>
      <c r="B321" s="54" t="n">
        <v>304</v>
      </c>
      <c r="C321" s="54" t="n">
        <v>385</v>
      </c>
      <c r="D321" s="54" t="n">
        <v>420</v>
      </c>
    </row>
    <row r="322" customFormat="false" ht="15" hidden="false" customHeight="false" outlineLevel="0" collapsed="false">
      <c r="A322" s="53" t="s">
        <v>136</v>
      </c>
      <c r="B322" s="54" t="n">
        <v>95</v>
      </c>
      <c r="C322" s="54" t="n">
        <v>95</v>
      </c>
      <c r="D322" s="54" t="n">
        <v>88</v>
      </c>
    </row>
    <row r="323" customFormat="false" ht="15" hidden="false" customHeight="false" outlineLevel="0" collapsed="false">
      <c r="A323" s="53" t="s">
        <v>139</v>
      </c>
      <c r="B323" s="54" t="n">
        <v>2305</v>
      </c>
      <c r="C323" s="54" t="n">
        <v>2148</v>
      </c>
      <c r="D323" s="54" t="n">
        <v>1905</v>
      </c>
    </row>
    <row r="324" customFormat="false" ht="15" hidden="false" customHeight="false" outlineLevel="0" collapsed="false">
      <c r="A324" s="53" t="s">
        <v>140</v>
      </c>
      <c r="B324" s="54" t="n">
        <v>688</v>
      </c>
      <c r="C324" s="54" t="n">
        <v>620</v>
      </c>
      <c r="D324" s="54" t="n">
        <v>545</v>
      </c>
    </row>
    <row r="325" customFormat="false" ht="15" hidden="false" customHeight="false" outlineLevel="0" collapsed="false">
      <c r="A325" s="53" t="s">
        <v>141</v>
      </c>
      <c r="B325" s="54" t="n">
        <v>300</v>
      </c>
      <c r="C325" s="54" t="n">
        <v>300</v>
      </c>
      <c r="D325" s="54" t="n">
        <v>300</v>
      </c>
    </row>
    <row r="326" customFormat="false" ht="15" hidden="false" customHeight="false" outlineLevel="0" collapsed="false">
      <c r="A326" s="53" t="s">
        <v>142</v>
      </c>
      <c r="B326" s="54" t="n">
        <v>150</v>
      </c>
      <c r="C326" s="54" t="n">
        <v>145</v>
      </c>
      <c r="D326" s="54" t="n">
        <v>140</v>
      </c>
    </row>
    <row r="327" customFormat="false" ht="15" hidden="false" customHeight="false" outlineLevel="0" collapsed="false">
      <c r="A327" s="53" t="s">
        <v>143</v>
      </c>
      <c r="B327" s="54" t="n">
        <v>85</v>
      </c>
      <c r="C327" s="54" t="n">
        <v>95</v>
      </c>
      <c r="D327" s="54" t="n">
        <v>72</v>
      </c>
    </row>
    <row r="330" customFormat="false" ht="15" hidden="false" customHeight="false" outlineLevel="0" collapsed="false">
      <c r="A330" s="55" t="s">
        <v>250</v>
      </c>
      <c r="C330" s="26" t="s">
        <v>251</v>
      </c>
    </row>
    <row r="331" customFormat="false" ht="15" hidden="false" customHeight="false" outlineLevel="0" collapsed="false">
      <c r="A331" s="53" t="s">
        <v>169</v>
      </c>
      <c r="B331" s="54" t="n">
        <v>-145</v>
      </c>
    </row>
    <row r="332" customFormat="false" ht="15" hidden="false" customHeight="false" outlineLevel="0" collapsed="false">
      <c r="A332" s="53" t="s">
        <v>170</v>
      </c>
      <c r="B332" s="54" t="n">
        <v>-40</v>
      </c>
    </row>
    <row r="333" customFormat="false" ht="15" hidden="false" customHeight="false" outlineLevel="0" collapsed="false">
      <c r="A333" s="53" t="s">
        <v>173</v>
      </c>
      <c r="B333" s="54" t="n">
        <v>-150</v>
      </c>
    </row>
    <row r="334" customFormat="false" ht="15" hidden="false" customHeight="false" outlineLevel="0" collapsed="false">
      <c r="A334" s="53" t="s">
        <v>174</v>
      </c>
      <c r="B334" s="54" t="n">
        <v>-76</v>
      </c>
    </row>
    <row r="335" customFormat="false" ht="15" hidden="false" customHeight="false" outlineLevel="0" collapsed="false">
      <c r="A335" s="53" t="s">
        <v>166</v>
      </c>
      <c r="B335" s="54" t="n">
        <v>-70</v>
      </c>
    </row>
    <row r="336" customFormat="false" ht="15" hidden="false" customHeight="false" outlineLevel="0" collapsed="false">
      <c r="A336" s="53" t="s">
        <v>165</v>
      </c>
      <c r="B336" s="54" t="n">
        <v>-44</v>
      </c>
    </row>
    <row r="339" customFormat="false" ht="15" hidden="false" customHeight="false" outlineLevel="0" collapsed="false">
      <c r="A339" s="55" t="s">
        <v>252</v>
      </c>
    </row>
    <row r="340" customFormat="false" ht="15" hidden="false" customHeight="false" outlineLevel="0" collapsed="false">
      <c r="A340" s="53" t="s">
        <v>253</v>
      </c>
      <c r="B340" s="56" t="n">
        <v>72</v>
      </c>
    </row>
    <row r="341" customFormat="false" ht="15" hidden="false" customHeight="false" outlineLevel="0" collapsed="false">
      <c r="A341" s="53" t="s">
        <v>254</v>
      </c>
      <c r="B341" s="56" t="n">
        <v>108</v>
      </c>
    </row>
    <row r="342" customFormat="false" ht="15" hidden="false" customHeight="false" outlineLevel="0" collapsed="false">
      <c r="A342" s="53" t="s">
        <v>255</v>
      </c>
      <c r="B342" s="56" t="n">
        <v>128</v>
      </c>
    </row>
    <row r="343" customFormat="false" ht="15" hidden="false" customHeight="false" outlineLevel="0" collapsed="false">
      <c r="A343" s="53" t="s">
        <v>256</v>
      </c>
      <c r="B343" s="56" t="n">
        <v>1.75</v>
      </c>
    </row>
    <row r="344" customFormat="false" ht="15" hidden="false" customHeight="false" outlineLevel="0" collapsed="false">
      <c r="A344" s="53" t="s">
        <v>257</v>
      </c>
      <c r="B344" s="56" t="n">
        <v>1.5</v>
      </c>
    </row>
    <row r="347" customFormat="false" ht="15" hidden="false" customHeight="false" outlineLevel="0" collapsed="false">
      <c r="A347" s="55" t="s">
        <v>258</v>
      </c>
    </row>
    <row r="348" customFormat="false" ht="22.35" hidden="false" customHeight="false" outlineLevel="0" collapsed="false">
      <c r="A348" s="21" t="s">
        <v>231</v>
      </c>
      <c r="B348" s="21" t="s">
        <v>259</v>
      </c>
      <c r="C348" s="21" t="s">
        <v>260</v>
      </c>
      <c r="D348" s="21" t="s">
        <v>261</v>
      </c>
      <c r="E348" s="21" t="s">
        <v>262</v>
      </c>
    </row>
    <row r="349" customFormat="false" ht="15" hidden="false" customHeight="false" outlineLevel="0" collapsed="false">
      <c r="A349" s="53" t="s">
        <v>234</v>
      </c>
      <c r="B349" s="29" t="n">
        <f aca="false">SUMIFS(Data!$E$6:$E$305,Data!$A$6:$A$305,"FY26 Actual",Data!$B$6:$B$305,"Gross sales",Data!$C$6:$C$305,1)+SUMIFS(Data!$E$6:$E$305,Data!$A$6:$A$305,"FY26 Actual",Data!$B$6:$B$305,"Trade discounts &amp; rebates",Data!$C$6:$C$305,1)</f>
        <v>1176</v>
      </c>
      <c r="C349" s="29" t="n">
        <f aca="false">SUMIFS(Data!$E$6:$E$305,Data!$A$6:$A$305,"FY26 Budget",Data!$B$6:$B$305,"Gross sales",Data!$C$6:$C$305,1)+SUMIFS(Data!$E$6:$E$305,Data!$A$6:$A$305,"FY26 Budget",Data!$B$6:$B$305,"Trade discounts &amp; rebates",Data!$C$6:$C$305,1)</f>
        <v>1140</v>
      </c>
      <c r="D349" s="30" t="n">
        <f aca="false">IFERROR((SUMIFS(Data!$E$6:$E$305,Data!$A$6:$A$305,"FY26 Actual",Data!$B$6:$B$305,"Gross sales",Data!$C$6:$C$305,1)+SUMIFS(Data!$E$6:$E$305,Data!$A$6:$A$305,"FY26 Actual",Data!$B$6:$B$305,"Trade discounts &amp; rebates",Data!$C$6:$C$305,1)+SUMIFS(Data!$E$6:$E$305,Data!$A$6:$A$305,"FY26 Actual",Data!$B$6:$B$305,"Cost of goods sold",Data!$C$6:$C$305,1))/(SUMIFS(Data!$E$6:$E$305,Data!$A$6:$A$305,"FY26 Actual",Data!$B$6:$B$305,"Gross sales",Data!$C$6:$C$305,1)+SUMIFS(Data!$E$6:$E$305,Data!$A$6:$A$305,"FY26 Actual",Data!$B$6:$B$305,"Trade discounts &amp; rebates",Data!$C$6:$C$305,1)),"")</f>
        <v>0.454081632653061</v>
      </c>
      <c r="E349" s="30" t="n">
        <f aca="false">IFERROR((SUMIFS(Data!$E$6:$E$305,Data!$A$6:$A$305,"FY26 Budget",Data!$B$6:$B$305,"Gross sales",Data!$C$6:$C$305,1)+SUMIFS(Data!$E$6:$E$305,Data!$A$6:$A$305,"FY26 Budget",Data!$B$6:$B$305,"Trade discounts &amp; rebates",Data!$C$6:$C$305,1)+SUMIFS(Data!$E$6:$E$305,Data!$A$6:$A$305,"FY26 Budget",Data!$B$6:$B$305,"Cost of goods sold",Data!$C$6:$C$305,1))/(SUMIFS(Data!$E$6:$E$305,Data!$A$6:$A$305,"FY26 Budget",Data!$B$6:$B$305,"Gross sales",Data!$C$6:$C$305,1)+SUMIFS(Data!$E$6:$E$305,Data!$A$6:$A$305,"FY26 Budget",Data!$B$6:$B$305,"Trade discounts &amp; rebates",Data!$C$6:$C$305,1)),"")</f>
        <v>0.467543859649123</v>
      </c>
    </row>
    <row r="350" customFormat="false" ht="15" hidden="false" customHeight="false" outlineLevel="0" collapsed="false">
      <c r="A350" s="53" t="s">
        <v>235</v>
      </c>
      <c r="B350" s="29" t="n">
        <f aca="false">SUMIFS(Data!$E$6:$E$305,Data!$A$6:$A$305,"FY26 Actual",Data!$B$6:$B$305,"Gross sales",Data!$C$6:$C$305,2)+SUMIFS(Data!$E$6:$E$305,Data!$A$6:$A$305,"FY26 Actual",Data!$B$6:$B$305,"Trade discounts &amp; rebates",Data!$C$6:$C$305,2)</f>
        <v>1063</v>
      </c>
      <c r="C350" s="29" t="n">
        <f aca="false">SUMIFS(Data!$E$6:$E$305,Data!$A$6:$A$305,"FY26 Budget",Data!$B$6:$B$305,"Gross sales",Data!$C$6:$C$305,2)+SUMIFS(Data!$E$6:$E$305,Data!$A$6:$A$305,"FY26 Budget",Data!$B$6:$B$305,"Trade discounts &amp; rebates",Data!$C$6:$C$305,2)</f>
        <v>1032</v>
      </c>
      <c r="D350" s="30" t="n">
        <f aca="false">IFERROR((SUMIFS(Data!$E$6:$E$305,Data!$A$6:$A$305,"FY26 Actual",Data!$B$6:$B$305,"Gross sales",Data!$C$6:$C$305,2)+SUMIFS(Data!$E$6:$E$305,Data!$A$6:$A$305,"FY26 Actual",Data!$B$6:$B$305,"Trade discounts &amp; rebates",Data!$C$6:$C$305,2)+SUMIFS(Data!$E$6:$E$305,Data!$A$6:$A$305,"FY26 Actual",Data!$B$6:$B$305,"Cost of goods sold",Data!$C$6:$C$305,2))/(SUMIFS(Data!$E$6:$E$305,Data!$A$6:$A$305,"FY26 Actual",Data!$B$6:$B$305,"Gross sales",Data!$C$6:$C$305,2)+SUMIFS(Data!$E$6:$E$305,Data!$A$6:$A$305,"FY26 Actual",Data!$B$6:$B$305,"Trade discounts &amp; rebates",Data!$C$6:$C$305,2)),"")</f>
        <v>0.45343367826905</v>
      </c>
      <c r="E350" s="30" t="n">
        <f aca="false">IFERROR((SUMIFS(Data!$E$6:$E$305,Data!$A$6:$A$305,"FY26 Budget",Data!$B$6:$B$305,"Gross sales",Data!$C$6:$C$305,2)+SUMIFS(Data!$E$6:$E$305,Data!$A$6:$A$305,"FY26 Budget",Data!$B$6:$B$305,"Trade discounts &amp; rebates",Data!$C$6:$C$305,2)+SUMIFS(Data!$E$6:$E$305,Data!$A$6:$A$305,"FY26 Budget",Data!$B$6:$B$305,"Cost of goods sold",Data!$C$6:$C$305,2))/(SUMIFS(Data!$E$6:$E$305,Data!$A$6:$A$305,"FY26 Budget",Data!$B$6:$B$305,"Gross sales",Data!$C$6:$C$305,2)+SUMIFS(Data!$E$6:$E$305,Data!$A$6:$A$305,"FY26 Budget",Data!$B$6:$B$305,"Trade discounts &amp; rebates",Data!$C$6:$C$305,2)),"")</f>
        <v>0.468023255813954</v>
      </c>
    </row>
    <row r="351" customFormat="false" ht="15" hidden="false" customHeight="false" outlineLevel="0" collapsed="false">
      <c r="A351" s="53" t="s">
        <v>236</v>
      </c>
      <c r="B351" s="29" t="n">
        <f aca="false">SUMIFS(Data!$E$6:$E$305,Data!$A$6:$A$305,"FY26 Actual",Data!$B$6:$B$305,"Gross sales",Data!$C$6:$C$305,3)+SUMIFS(Data!$E$6:$E$305,Data!$A$6:$A$305,"FY26 Actual",Data!$B$6:$B$305,"Trade discounts &amp; rebates",Data!$C$6:$C$305,3)</f>
        <v>1030</v>
      </c>
      <c r="C351" s="29" t="n">
        <f aca="false">SUMIFS(Data!$E$6:$E$305,Data!$A$6:$A$305,"FY26 Budget",Data!$B$6:$B$305,"Gross sales",Data!$C$6:$C$305,3)+SUMIFS(Data!$E$6:$E$305,Data!$A$6:$A$305,"FY26 Budget",Data!$B$6:$B$305,"Trade discounts &amp; rebates",Data!$C$6:$C$305,3)</f>
        <v>1000</v>
      </c>
      <c r="D351" s="30" t="n">
        <f aca="false">IFERROR((SUMIFS(Data!$E$6:$E$305,Data!$A$6:$A$305,"FY26 Actual",Data!$B$6:$B$305,"Gross sales",Data!$C$6:$C$305,3)+SUMIFS(Data!$E$6:$E$305,Data!$A$6:$A$305,"FY26 Actual",Data!$B$6:$B$305,"Trade discounts &amp; rebates",Data!$C$6:$C$305,3)+SUMIFS(Data!$E$6:$E$305,Data!$A$6:$A$305,"FY26 Actual",Data!$B$6:$B$305,"Cost of goods sold",Data!$C$6:$C$305,3))/(SUMIFS(Data!$E$6:$E$305,Data!$A$6:$A$305,"FY26 Actual",Data!$B$6:$B$305,"Gross sales",Data!$C$6:$C$305,3)+SUMIFS(Data!$E$6:$E$305,Data!$A$6:$A$305,"FY26 Actual",Data!$B$6:$B$305,"Trade discounts &amp; rebates",Data!$C$6:$C$305,3)),"")</f>
        <v>0.454368932038835</v>
      </c>
      <c r="E351" s="30" t="n">
        <f aca="false">IFERROR((SUMIFS(Data!$E$6:$E$305,Data!$A$6:$A$305,"FY26 Budget",Data!$B$6:$B$305,"Gross sales",Data!$C$6:$C$305,3)+SUMIFS(Data!$E$6:$E$305,Data!$A$6:$A$305,"FY26 Budget",Data!$B$6:$B$305,"Trade discounts &amp; rebates",Data!$C$6:$C$305,3)+SUMIFS(Data!$E$6:$E$305,Data!$A$6:$A$305,"FY26 Budget",Data!$B$6:$B$305,"Cost of goods sold",Data!$C$6:$C$305,3))/(SUMIFS(Data!$E$6:$E$305,Data!$A$6:$A$305,"FY26 Budget",Data!$B$6:$B$305,"Gross sales",Data!$C$6:$C$305,3)+SUMIFS(Data!$E$6:$E$305,Data!$A$6:$A$305,"FY26 Budget",Data!$B$6:$B$305,"Trade discounts &amp; rebates",Data!$C$6:$C$305,3)),"")</f>
        <v>0.468</v>
      </c>
    </row>
    <row r="352" customFormat="false" ht="15" hidden="false" customHeight="false" outlineLevel="0" collapsed="false">
      <c r="A352" s="53" t="s">
        <v>237</v>
      </c>
      <c r="B352" s="29" t="n">
        <f aca="false">SUMIFS(Data!$E$6:$E$305,Data!$A$6:$A$305,"FY26 Actual",Data!$B$6:$B$305,"Gross sales",Data!$C$6:$C$305,4)+SUMIFS(Data!$E$6:$E$305,Data!$A$6:$A$305,"FY26 Actual",Data!$B$6:$B$305,"Trade discounts &amp; rebates",Data!$C$6:$C$305,4)</f>
        <v>917</v>
      </c>
      <c r="C352" s="29" t="n">
        <f aca="false">SUMIFS(Data!$E$6:$E$305,Data!$A$6:$A$305,"FY26 Budget",Data!$B$6:$B$305,"Gross sales",Data!$C$6:$C$305,4)+SUMIFS(Data!$E$6:$E$305,Data!$A$6:$A$305,"FY26 Budget",Data!$B$6:$B$305,"Trade discounts &amp; rebates",Data!$C$6:$C$305,4)</f>
        <v>891</v>
      </c>
      <c r="D352" s="30" t="n">
        <f aca="false">IFERROR((SUMIFS(Data!$E$6:$E$305,Data!$A$6:$A$305,"FY26 Actual",Data!$B$6:$B$305,"Gross sales",Data!$C$6:$C$305,4)+SUMIFS(Data!$E$6:$E$305,Data!$A$6:$A$305,"FY26 Actual",Data!$B$6:$B$305,"Trade discounts &amp; rebates",Data!$C$6:$C$305,4)+SUMIFS(Data!$E$6:$E$305,Data!$A$6:$A$305,"FY26 Actual",Data!$B$6:$B$305,"Cost of goods sold",Data!$C$6:$C$305,4))/(SUMIFS(Data!$E$6:$E$305,Data!$A$6:$A$305,"FY26 Actual",Data!$B$6:$B$305,"Gross sales",Data!$C$6:$C$305,4)+SUMIFS(Data!$E$6:$E$305,Data!$A$6:$A$305,"FY26 Actual",Data!$B$6:$B$305,"Trade discounts &amp; rebates",Data!$C$6:$C$305,4)),"")</f>
        <v>0.453653217011996</v>
      </c>
      <c r="E352" s="30" t="n">
        <f aca="false">IFERROR((SUMIFS(Data!$E$6:$E$305,Data!$A$6:$A$305,"FY26 Budget",Data!$B$6:$B$305,"Gross sales",Data!$C$6:$C$305,4)+SUMIFS(Data!$E$6:$E$305,Data!$A$6:$A$305,"FY26 Budget",Data!$B$6:$B$305,"Trade discounts &amp; rebates",Data!$C$6:$C$305,4)+SUMIFS(Data!$E$6:$E$305,Data!$A$6:$A$305,"FY26 Budget",Data!$B$6:$B$305,"Cost of goods sold",Data!$C$6:$C$305,4))/(SUMIFS(Data!$E$6:$E$305,Data!$A$6:$A$305,"FY26 Budget",Data!$B$6:$B$305,"Gross sales",Data!$C$6:$C$305,4)+SUMIFS(Data!$E$6:$E$305,Data!$A$6:$A$305,"FY26 Budget",Data!$B$6:$B$305,"Trade discounts &amp; rebates",Data!$C$6:$C$305,4)),"")</f>
        <v>0.468013468013468</v>
      </c>
    </row>
    <row r="353" customFormat="false" ht="15" hidden="false" customHeight="false" outlineLevel="0" collapsed="false">
      <c r="A353" s="53" t="s">
        <v>238</v>
      </c>
      <c r="B353" s="29" t="n">
        <f aca="false">SUMIFS(Data!$E$6:$E$305,Data!$A$6:$A$305,"FY26 Actual",Data!$B$6:$B$305,"Gross sales",Data!$C$6:$C$305,5)+SUMIFS(Data!$E$6:$E$305,Data!$A$6:$A$305,"FY26 Actual",Data!$B$6:$B$305,"Trade discounts &amp; rebates",Data!$C$6:$C$305,5)</f>
        <v>873</v>
      </c>
      <c r="C353" s="29" t="n">
        <f aca="false">SUMIFS(Data!$E$6:$E$305,Data!$A$6:$A$305,"FY26 Budget",Data!$B$6:$B$305,"Gross sales",Data!$C$6:$C$305,5)+SUMIFS(Data!$E$6:$E$305,Data!$A$6:$A$305,"FY26 Budget",Data!$B$6:$B$305,"Trade discounts &amp; rebates",Data!$C$6:$C$305,5)</f>
        <v>847</v>
      </c>
      <c r="D353" s="30" t="n">
        <f aca="false">IFERROR((SUMIFS(Data!$E$6:$E$305,Data!$A$6:$A$305,"FY26 Actual",Data!$B$6:$B$305,"Gross sales",Data!$C$6:$C$305,5)+SUMIFS(Data!$E$6:$E$305,Data!$A$6:$A$305,"FY26 Actual",Data!$B$6:$B$305,"Trade discounts &amp; rebates",Data!$C$6:$C$305,5)+SUMIFS(Data!$E$6:$E$305,Data!$A$6:$A$305,"FY26 Actual",Data!$B$6:$B$305,"Cost of goods sold",Data!$C$6:$C$305,5))/(SUMIFS(Data!$E$6:$E$305,Data!$A$6:$A$305,"FY26 Actual",Data!$B$6:$B$305,"Gross sales",Data!$C$6:$C$305,5)+SUMIFS(Data!$E$6:$E$305,Data!$A$6:$A$305,"FY26 Actual",Data!$B$6:$B$305,"Trade discounts &amp; rebates",Data!$C$6:$C$305,5)),"")</f>
        <v>0.45360824742268</v>
      </c>
      <c r="E353" s="30" t="n">
        <f aca="false">IFERROR((SUMIFS(Data!$E$6:$E$305,Data!$A$6:$A$305,"FY26 Budget",Data!$B$6:$B$305,"Gross sales",Data!$C$6:$C$305,5)+SUMIFS(Data!$E$6:$E$305,Data!$A$6:$A$305,"FY26 Budget",Data!$B$6:$B$305,"Trade discounts &amp; rebates",Data!$C$6:$C$305,5)+SUMIFS(Data!$E$6:$E$305,Data!$A$6:$A$305,"FY26 Budget",Data!$B$6:$B$305,"Cost of goods sold",Data!$C$6:$C$305,5))/(SUMIFS(Data!$E$6:$E$305,Data!$A$6:$A$305,"FY26 Budget",Data!$B$6:$B$305,"Gross sales",Data!$C$6:$C$305,5)+SUMIFS(Data!$E$6:$E$305,Data!$A$6:$A$305,"FY26 Budget",Data!$B$6:$B$305,"Trade discounts &amp; rebates",Data!$C$6:$C$305,5)),"")</f>
        <v>0.467532467532468</v>
      </c>
    </row>
    <row r="354" customFormat="false" ht="15" hidden="false" customHeight="false" outlineLevel="0" collapsed="false">
      <c r="A354" s="53" t="s">
        <v>239</v>
      </c>
      <c r="B354" s="29" t="n">
        <f aca="false">SUMIFS(Data!$E$6:$E$305,Data!$A$6:$A$305,"FY26 Actual",Data!$B$6:$B$305,"Gross sales",Data!$C$6:$C$305,6)+SUMIFS(Data!$E$6:$E$305,Data!$A$6:$A$305,"FY26 Actual",Data!$B$6:$B$305,"Trade discounts &amp; rebates",Data!$C$6:$C$305,6)</f>
        <v>783</v>
      </c>
      <c r="C354" s="29" t="n">
        <f aca="false">SUMIFS(Data!$E$6:$E$305,Data!$A$6:$A$305,"FY26 Budget",Data!$B$6:$B$305,"Gross sales",Data!$C$6:$C$305,6)+SUMIFS(Data!$E$6:$E$305,Data!$A$6:$A$305,"FY26 Budget",Data!$B$6:$B$305,"Trade discounts &amp; rebates",Data!$C$6:$C$305,6)</f>
        <v>761</v>
      </c>
      <c r="D354" s="30" t="n">
        <f aca="false">IFERROR((SUMIFS(Data!$E$6:$E$305,Data!$A$6:$A$305,"FY26 Actual",Data!$B$6:$B$305,"Gross sales",Data!$C$6:$C$305,6)+SUMIFS(Data!$E$6:$E$305,Data!$A$6:$A$305,"FY26 Actual",Data!$B$6:$B$305,"Trade discounts &amp; rebates",Data!$C$6:$C$305,6)+SUMIFS(Data!$E$6:$E$305,Data!$A$6:$A$305,"FY26 Actual",Data!$B$6:$B$305,"Cost of goods sold",Data!$C$6:$C$305,6))/(SUMIFS(Data!$E$6:$E$305,Data!$A$6:$A$305,"FY26 Actual",Data!$B$6:$B$305,"Gross sales",Data!$C$6:$C$305,6)+SUMIFS(Data!$E$6:$E$305,Data!$A$6:$A$305,"FY26 Actual",Data!$B$6:$B$305,"Trade discounts &amp; rebates",Data!$C$6:$C$305,6)),"")</f>
        <v>0.454661558109834</v>
      </c>
      <c r="E354" s="30" t="n">
        <f aca="false">IFERROR((SUMIFS(Data!$E$6:$E$305,Data!$A$6:$A$305,"FY26 Budget",Data!$B$6:$B$305,"Gross sales",Data!$C$6:$C$305,6)+SUMIFS(Data!$E$6:$E$305,Data!$A$6:$A$305,"FY26 Budget",Data!$B$6:$B$305,"Trade discounts &amp; rebates",Data!$C$6:$C$305,6)+SUMIFS(Data!$E$6:$E$305,Data!$A$6:$A$305,"FY26 Budget",Data!$B$6:$B$305,"Cost of goods sold",Data!$C$6:$C$305,6))/(SUMIFS(Data!$E$6:$E$305,Data!$A$6:$A$305,"FY26 Budget",Data!$B$6:$B$305,"Gross sales",Data!$C$6:$C$305,6)+SUMIFS(Data!$E$6:$E$305,Data!$A$6:$A$305,"FY26 Budget",Data!$B$6:$B$305,"Trade discounts &amp; rebates",Data!$C$6:$C$305,6)),"")</f>
        <v>0.469119579500657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2026-07-26T23:42:09Z</dcterms:created>
  <dc:creator>openpyxl</dc:creator>
  <dc:description/>
  <dc:language>en-US</dc:language>
  <cp:lastModifiedBy/>
  <dcterms:modified xsi:type="dcterms:W3CDTF">2026-07-27T00:09:32Z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