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_rels/workbook.xml.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_rels/sheet2.xml.rels" ContentType="application/vnd.openxmlformats-package.relationships+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sharedStrings.xml" ContentType="application/vnd.openxmlformats-officedocument.spreadsheetml.sharedStrings+xml"/>
  <Override PartName="/xl/comments2.xml" ContentType="application/vnd.openxmlformats-officedocument.spreadsheetml.comments+xml"/>
  <Override PartName="/xl/drawings/vmlDrawing1.vml" ContentType="application/vnd.openxmlformats-officedocument.vmlDrawing"/>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Read Me" sheetId="1" state="visible" r:id="rId3"/>
    <sheet name="Control Panel" sheetId="2" state="visible" r:id="rId4"/>
    <sheet name="Report" sheetId="3" state="visible" r:id="rId5"/>
    <sheet name="Cost Centre Pack" sheetId="4" state="visible" r:id="rId6"/>
    <sheet name="Exceptions" sheetId="5" state="visible" r:id="rId7"/>
    <sheet name="Staging" sheetId="6" state="visible" r:id="rId8"/>
    <sheet name="Budget" sheetId="7" state="visible" r:id="rId9"/>
    <sheet name="Mapping" sheetId="8" state="visible" r:id="rId10"/>
    <sheet name="Audit Trail" sheetId="9" state="visible" r:id="rId11"/>
    <sheet name="VBA Code" sheetId="10" state="visible" r:id="rId12"/>
  </sheets>
  <definedNames>
    <definedName function="false" hidden="false" localSheetId="8" name="_xlnm.Print_Area" vbProcedure="false">'Audit Trail'!$A$1:$N$15</definedName>
    <definedName function="false" hidden="false" localSheetId="6" name="_xlnm.Print_Area" vbProcedure="false">Budget!$A$1:$E$108</definedName>
    <definedName function="false" hidden="false" localSheetId="1" name="_xlnm.Print_Area" vbProcedure="false">'Control Panel'!$A$1:$I$25</definedName>
    <definedName function="false" hidden="false" localSheetId="3" name="_xlnm.Print_Area" vbProcedure="false">'Cost Centre Pack'!$A$1:$G$41</definedName>
    <definedName function="false" hidden="false" localSheetId="4" name="_xlnm.Print_Area" vbProcedure="false">Exceptions!$A$1:$G$19</definedName>
    <definedName function="false" hidden="false" localSheetId="7" name="_xlnm.Print_Area" vbProcedure="false">Mapping!$A$1:$J$40</definedName>
    <definedName function="false" hidden="false" localSheetId="0" name="_xlnm.Print_Area" vbProcedure="false">'Read Me'!$A$1:$F$42</definedName>
    <definedName function="false" hidden="false" localSheetId="2" name="_xlnm.Print_Area" vbProcedure="false">Report!$A$1:$Q$71</definedName>
    <definedName function="false" hidden="false" localSheetId="5" name="_xlnm.Print_Area" vbProcedure="false">Staging!$A$1:$M$534</definedName>
    <definedName function="false" hidden="false" localSheetId="5" name="_xlnm.Print_Titles" vbProcedure="false">Staging!$1:$3</definedName>
    <definedName function="false" hidden="false" localSheetId="9" name="_xlnm.Print_Area" vbProcedure="false">'VBA Code'!$A$1:$B$815</definedName>
    <definedName function="false" hidden="false" localSheetId="9" name="_xlnm.Print_Titles" vbProcedure="false">'VBA Code'!$1:$2</definedName>
  </definedNames>
  <calcPr iterateCount="100" refMode="A1" iterate="false" iterateDelta="0.0001"/>
  <extLst>
    <ext xmlns:loext="http://schemas.libreoffice.org/" uri="{7626C862-2A13-11E5-B345-FEFF819CDC9F}">
      <loext:extCalcPr stringRefSyntax="ExcelA1"/>
    </ext>
  </extLst>
</workbook>
</file>

<file path=xl/comments2.xml><?xml version="1.0" encoding="utf-8"?>
<comments xmlns="http://schemas.openxmlformats.org/spreadsheetml/2006/main" xmlns:xdr="http://schemas.openxmlformats.org/drawingml/2006/spreadsheetDrawing">
  <authors>
    <author>Unknown Author</author>
  </authors>
  <commentList>
    <comment ref="E9" authorId="0">
      <text>
        <r>
          <rPr>
            <sz val="10"/>
            <rFont val="Arial"/>
            <family val="2"/>
          </rPr>
          <t xml:space="preserve">Every parameter the tool needs is on this sheet. Nothing that a user might reasonably want to change is buried in the code.</t>
        </r>
      </text>
    </comment>
  </commentList>
</comments>
</file>

<file path=xl/sharedStrings.xml><?xml version="1.0" encoding="utf-8"?>
<sst xmlns="http://schemas.openxmlformats.org/spreadsheetml/2006/main" count="5086" uniqueCount="1512">
  <si>
    <t xml:space="preserve">HALCYON METALWORKS KFT.</t>
  </si>
  <si>
    <t xml:space="preserve">MONTH END COST CENTRE REPORTING</t>
  </si>
  <si>
    <t xml:space="preserve">Excel and VBA automation  |  before and after  |  June 2026 (period 006)</t>
  </si>
  <si>
    <t xml:space="preserve">Illustrative portfolio sample - fictional company and fictional data</t>
  </si>
  <si>
    <t xml:space="preserve">Prepared by</t>
  </si>
  <si>
    <t xml:space="preserve">Tarlan Charkasov, ACCA</t>
  </si>
  <si>
    <t xml:space="preserve">Files in this sample</t>
  </si>
  <si>
    <t xml:space="preserve">Before workbook, after workbook, .bas source</t>
  </si>
  <si>
    <t xml:space="preserve">THE PROBLEM</t>
  </si>
  <si>
    <t xml:space="preserve">Twelve cost centres, one SAP extract, one budget file in a different shape, and twelve managers who each need their own pack by working day four. The analyst who did it left a 23 step handover note, which is in the before workbook. The routine took about four hours a month, lived in one person's head, and had no record of what had been run. In June it understated one cost centre by EUR 7,300 because a SUM range stopped three rows short of the end of a pasted block. Nothing looked wrong: no error value, no red cell, just a total that was quietly too low, found by the cost centre owner rather than by the pack.</t>
  </si>
  <si>
    <t xml:space="preserve">BEFORE AND AFTER</t>
  </si>
  <si>
    <t xml:space="preserve">Manual routine</t>
  </si>
  <si>
    <t xml:space="preserve">Automated tool</t>
  </si>
  <si>
    <t xml:space="preserve">Time from extract to twelve packs</t>
  </si>
  <si>
    <t xml:space="preserve">4.2 hours on average, more when the extract is re-run</t>
  </si>
  <si>
    <t xml:space="preserve">Three seconds of run time. What is left is reading the exceptions and writing the commentary</t>
  </si>
  <si>
    <t xml:space="preserve">Steps performed by hand</t>
  </si>
  <si>
    <t xml:space="preserve">23, in a specific order</t>
  </si>
  <si>
    <t xml:space="preserve">One button</t>
  </si>
  <si>
    <t xml:space="preserve">Where the mapping lives</t>
  </si>
  <si>
    <t xml:space="preserve">Half on a notes tab, half in one person's head</t>
  </si>
  <si>
    <t xml:space="preserve">One table on the Mapping sheet</t>
  </si>
  <si>
    <t xml:space="preserve">Unmapped accounts</t>
  </si>
  <si>
    <t xml:space="preserve">Guessed at, or left out of the pack</t>
  </si>
  <si>
    <t xml:space="preserve">Staged, flagged, and still inside the control total</t>
  </si>
  <si>
    <t xml:space="preserve">Exception checks</t>
  </si>
  <si>
    <t xml:space="preserve">Whatever the analyst happened to notice</t>
  </si>
  <si>
    <t xml:space="preserve">Five rules applied to every line, every run</t>
  </si>
  <si>
    <t xml:space="preserve">Evidence the pack is complete</t>
  </si>
  <si>
    <t xml:space="preserve">A check that was out most months and had stopped being looked at</t>
  </si>
  <si>
    <t xml:space="preserve">Control total in against control total out. A difference fails the run</t>
  </si>
  <si>
    <t xml:space="preserve">Audit trail</t>
  </si>
  <si>
    <t xml:space="preserve">None</t>
  </si>
  <si>
    <t xml:space="preserve">One row per run: who, when, from which file, how many lines, control totals</t>
  </si>
  <si>
    <t xml:space="preserve">If the analyst is on holiday</t>
  </si>
  <si>
    <t xml:space="preserve">The pack does not go out</t>
  </si>
  <si>
    <t xml:space="preserve">Anyone with the file and the two paths can run it</t>
  </si>
  <si>
    <t xml:space="preserve">The June understatement</t>
  </si>
  <si>
    <t xml:space="preserve">EUR 7,300, undetected for a month</t>
  </si>
  <si>
    <t xml:space="preserve">Cannot happen: totals are SUMIFS over a staging table, not a dragged range</t>
  </si>
  <si>
    <t xml:space="preserve">HOW IT WORKS</t>
  </si>
  <si>
    <t xml:space="preserve">1  Import</t>
  </si>
  <si>
    <t xml:space="preserve">modImport opens the extract read only. It searches for the header row rather than assuming it, locates columns by name rather than by position, and parses SAP text amounts including the trailing minus sign.</t>
  </si>
  <si>
    <t xml:space="preserve">2  Transform</t>
  </si>
  <si>
    <t xml:space="preserve">modTransform maps accounts to reporting lines from the Mapping sheet, applies five exception rules and returns a clean array. Unmapped lines are kept, not dropped, so the control total still ties.</t>
  </si>
  <si>
    <t xml:space="preserve">3  Stage</t>
  </si>
  <si>
    <t xml:space="preserve">modOutput writes the staging table and the unpivoted budget in two array writes. The budget is never attached to a document line, which is how a monthly figure gets double counted.</t>
  </si>
  <si>
    <t xml:space="preserve">4  Report</t>
  </si>
  <si>
    <t xml:space="preserve">The report and the packs are worksheet formulas over those two tables. The macro does not calculate the report, so a reviewer can audit the logic without opening the VBA editor.</t>
  </si>
  <si>
    <t xml:space="preserve">5  Burst</t>
  </si>
  <si>
    <t xml:space="preserve">One pack per cost centre, driven by a single cell, converted to values and saved as CC_code_period.xlsx.</t>
  </si>
  <si>
    <t xml:space="preserve">6  Log</t>
  </si>
  <si>
    <t xml:space="preserve">modLog appends one audit row with control totals in and out. If they do not agree within the tolerance on the Control Panel, the run raises an error and nothing is issued.</t>
  </si>
  <si>
    <t xml:space="preserve">INSTALLING AND MAINTAINING IT</t>
  </si>
  <si>
    <t xml:space="preserve">Install</t>
  </si>
  <si>
    <t xml:space="preserve">Open the .bas file, create six standard modules with the names in its header, and paste each section in. No library references are needed: the dictionary is created late bound.</t>
  </si>
  <si>
    <t xml:space="preserve">Set the paths</t>
  </si>
  <si>
    <t xml:space="preserve">Three cells on the Control Panel: the extract, the budget file and the output folder.</t>
  </si>
  <si>
    <t xml:space="preserve">Maintain</t>
  </si>
  <si>
    <t xml:space="preserve">Add new accounts to the Mapping sheet. That is the whole of the maintenance.</t>
  </si>
  <si>
    <t xml:space="preserve">Hand over</t>
  </si>
  <si>
    <t xml:space="preserve">The Read Me, the Control Panel and the commented source are the handover. There is no 23 step note.</t>
  </si>
  <si>
    <t xml:space="preserve">DISCLAIMER.  A work sample. Halcyon Metalworks Kft. is fictional and so are the cost centres, accounts, suppliers, postings and budgets. No client data of any kind appears in these files. This workbook ships as .xlsx with the macro source alongside it, so it can be opened and read anywhere; the production version is a single macro enabled workbook. Prepared by Tarlan Charkasov, ACCA.</t>
  </si>
  <si>
    <t xml:space="preserve">CONTROL PANEL</t>
  </si>
  <si>
    <t xml:space="preserve">Halcyon Metalworks Kft.  |  Halcyon Cost Centre Reporting Tool v2.4  |  the four buttons below are the entire user interface. Everything else on this sheet is a parameter.</t>
  </si>
  <si>
    <t xml:space="preserve">RUN</t>
  </si>
  <si>
    <t xml:space="preserve">RUN FULL CYCLE</t>
  </si>
  <si>
    <t xml:space="preserve">modMain.RunFullCycle</t>
  </si>
  <si>
    <t xml:space="preserve">Import, validate, stage, refresh and burst the packs.</t>
  </si>
  <si>
    <t xml:space="preserve">VALIDATE ONLY</t>
  </si>
  <si>
    <t xml:space="preserve">modMain.ValidateOnly</t>
  </si>
  <si>
    <t xml:space="preserve">Same import and mapping, no output. Run this before the ledger closes.</t>
  </si>
  <si>
    <t xml:space="preserve">CLEAR OUTPUTS</t>
  </si>
  <si>
    <t xml:space="preserve">modMain.ClearOutputs</t>
  </si>
  <si>
    <t xml:space="preserve">Empties staging and budget so the file can be archived or circulated.</t>
  </si>
  <si>
    <t xml:space="preserve">PARAMETERS</t>
  </si>
  <si>
    <t xml:space="preserve">Reporting period</t>
  </si>
  <si>
    <t xml:space="preserve">2026-06</t>
  </si>
  <si>
    <t xml:space="preserve">yyyy-mm. Drives the pack file names and the audit trail.</t>
  </si>
  <si>
    <t xml:space="preserve">General ledger export</t>
  </si>
  <si>
    <t xml:space="preserve">\\hm-fs01\finance\SAP extracts\2026-06\ZFI_CC_LINEITEM.xlsx</t>
  </si>
  <si>
    <t xml:space="preserve">The raw extract. Not copied, not edited, read only.</t>
  </si>
  <si>
    <t xml:space="preserve">Budget file</t>
  </si>
  <si>
    <t xml:space="preserve">\\hm-fs01\finance\Planning\Budget FY2026 v3.xlsx</t>
  </si>
  <si>
    <t xml:space="preserve">As issued by group planning, in its own layout.</t>
  </si>
  <si>
    <t xml:space="preserve">Output folder</t>
  </si>
  <si>
    <t xml:space="preserve">\\hm-fs01\finance\CC packs\2026-06</t>
  </si>
  <si>
    <t xml:space="preserve">Where the twelve cost centre packs are written.</t>
  </si>
  <si>
    <t xml:space="preserve">Burst cost centre packs</t>
  </si>
  <si>
    <t xml:space="preserve">YES</t>
  </si>
  <si>
    <t xml:space="preserve">YES or NO. NO stops at the report and writes nothing.</t>
  </si>
  <si>
    <t xml:space="preserve">Control total tolerance</t>
  </si>
  <si>
    <t xml:space="preserve">EUR. A difference above this fails the run rather than warning about it.</t>
  </si>
  <si>
    <t xml:space="preserve">LAST RUN</t>
  </si>
  <si>
    <t xml:space="preserve">Run at</t>
  </si>
  <si>
    <t xml:space="preserve">This sample ships as .xlsx with the macro source in a separate .bas file, so that it can be opened and read anywhere without a security warning. The production file is a single .xlsm.</t>
  </si>
  <si>
    <t xml:space="preserve">Result</t>
  </si>
  <si>
    <t xml:space="preserve">Lines staged</t>
  </si>
  <si>
    <t xml:space="preserve">Control total difference</t>
  </si>
  <si>
    <t xml:space="preserve">COST CENTRE REPORT - JUNE 2026 (PERIOD 006)</t>
  </si>
  <si>
    <t xml:space="preserve">Halcyon Metalworks Kft.  |  EUR  |  every figure is a SUMIFS over the Staging and Budget tables. The macro moves data; the reporting logic stays here, in visible formulas.</t>
  </si>
  <si>
    <t xml:space="preserve">A   BY REPORTING LINE</t>
  </si>
  <si>
    <t xml:space="preserve">Reporting line</t>
  </si>
  <si>
    <t xml:space="preserve">Actual</t>
  </si>
  <si>
    <t xml:space="preserve">Budget</t>
  </si>
  <si>
    <t xml:space="preserve">Variance</t>
  </si>
  <si>
    <t xml:space="preserve">Var %</t>
  </si>
  <si>
    <t xml:space="preserve">% of spend</t>
  </si>
  <si>
    <t xml:space="preserve">Flag</t>
  </si>
  <si>
    <t xml:space="preserve">Consumables &amp; tooling</t>
  </si>
  <si>
    <t xml:space="preserve">Energy</t>
  </si>
  <si>
    <t xml:space="preserve">Wages &amp; salaries</t>
  </si>
  <si>
    <t xml:space="preserve">Social contributions</t>
  </si>
  <si>
    <t xml:space="preserve">Agency &amp; temporary labour</t>
  </si>
  <si>
    <t xml:space="preserve">Training &amp; recruitment</t>
  </si>
  <si>
    <t xml:space="preserve">Repairs &amp; maintenance</t>
  </si>
  <si>
    <t xml:space="preserve">Rent &amp; facilities</t>
  </si>
  <si>
    <t xml:space="preserve">Freight &amp; logistics</t>
  </si>
  <si>
    <t xml:space="preserve">IT &amp; communication</t>
  </si>
  <si>
    <t xml:space="preserve">Professional fees</t>
  </si>
  <si>
    <t xml:space="preserve">Travel &amp; entertainment</t>
  </si>
  <si>
    <t xml:space="preserve">Insurance</t>
  </si>
  <si>
    <t xml:space="preserve">Depreciation</t>
  </si>
  <si>
    <t xml:space="preserve">UNMAPPED</t>
  </si>
  <si>
    <t xml:space="preserve">Total cost centre spend</t>
  </si>
  <si>
    <t xml:space="preserve">Control: total staged per the Staging tab</t>
  </si>
  <si>
    <t xml:space="preserve">B   BY COST CENTRE</t>
  </si>
  <si>
    <t xml:space="preserve">Cost centre</t>
  </si>
  <si>
    <t xml:space="preserve">Owner</t>
  </si>
  <si>
    <t xml:space="preserve">Status</t>
  </si>
  <si>
    <t xml:space="preserve">4110  Machining - Cell A</t>
  </si>
  <si>
    <t xml:space="preserve">4120  Machining - Cell B</t>
  </si>
  <si>
    <t xml:space="preserve">4130  Turning &amp; milling</t>
  </si>
  <si>
    <t xml:space="preserve">4140  Deburring &amp; finishing</t>
  </si>
  <si>
    <t xml:space="preserve">4210  Quality assurance</t>
  </si>
  <si>
    <t xml:space="preserve">4220  Maintenance</t>
  </si>
  <si>
    <t xml:space="preserve">4310  Logistics &amp; warehouse</t>
  </si>
  <si>
    <t xml:space="preserve">4320  Production planning</t>
  </si>
  <si>
    <t xml:space="preserve">5110  Engineering</t>
  </si>
  <si>
    <t xml:space="preserve">5210  Sales &amp; key accounts</t>
  </si>
  <si>
    <t xml:space="preserve">6110  Finance &amp; administration</t>
  </si>
  <si>
    <t xml:space="preserve">6120  HR &amp; training</t>
  </si>
  <si>
    <t xml:space="preserve">UNASSIGNED  Not derived</t>
  </si>
  <si>
    <t xml:space="preserve">Total</t>
  </si>
  <si>
    <t xml:space="preserve">C   VARIANCE BY COST CENTRE AND REPORTING LINE   (ACTUAL LESS BUDGET, UNFAVOURABLE POSITIVE)</t>
  </si>
  <si>
    <t xml:space="preserve">4110</t>
  </si>
  <si>
    <t xml:space="preserve">4120</t>
  </si>
  <si>
    <t xml:space="preserve">4130</t>
  </si>
  <si>
    <t xml:space="preserve">4140</t>
  </si>
  <si>
    <t xml:space="preserve">4210</t>
  </si>
  <si>
    <t xml:space="preserve">4220</t>
  </si>
  <si>
    <t xml:space="preserve">4310</t>
  </si>
  <si>
    <t xml:space="preserve">4320</t>
  </si>
  <si>
    <t xml:space="preserve">5110</t>
  </si>
  <si>
    <t xml:space="preserve">5210</t>
  </si>
  <si>
    <t xml:space="preserve">6110</t>
  </si>
  <si>
    <t xml:space="preserve">6120</t>
  </si>
  <si>
    <t xml:space="preserve">UNASSIGNED</t>
  </si>
  <si>
    <t xml:space="preserve">The matrix carries a sub-cent index term so the ranking below can identify a unique cell. It does not affect any reported figure.</t>
  </si>
  <si>
    <t xml:space="preserve">D   THE TEN LARGEST UNFAVOURABLE VARIANCES   (WRITTEN BY FORMULA, NOT BY HAND)</t>
  </si>
  <si>
    <t xml:space="preserve">Comment required</t>
  </si>
  <si>
    <t xml:space="preserve">Ten largest unfavourable variances, against the net total variance</t>
  </si>
  <si>
    <t xml:space="preserve">Above 100% because favourable variances elsewhere offset part of the overspend - which is itself the finding.</t>
  </si>
  <si>
    <t xml:space="preserve">COST CENTRE PACK</t>
  </si>
  <si>
    <t xml:space="preserve">One cell drives this sheet. The macro sets it, calculates, copies the sheet to a new workbook, converts it to values and saves it as CC_&lt;code&gt;_&lt;period&gt;.xlsx. Twelve packs, one loop.</t>
  </si>
  <si>
    <t xml:space="preserve">SPEND AGAINST BUDGET</t>
  </si>
  <si>
    <t xml:space="preserve">Comment</t>
  </si>
  <si>
    <t xml:space="preserve">THE FIVE LARGEST VARIANCES ON THIS COST CENTRE</t>
  </si>
  <si>
    <t xml:space="preserve">Owner action</t>
  </si>
  <si>
    <t xml:space="preserve">OWNER COMMENTARY</t>
  </si>
  <si>
    <t xml:space="preserve">Returned to finance by</t>
  </si>
  <si>
    <t xml:space="preserve">________________</t>
  </si>
  <si>
    <t xml:space="preserve">Date</t>
  </si>
  <si>
    <t xml:space="preserve">EXCEPTIONS - FIVE RULES, EVERY RUN</t>
  </si>
  <si>
    <t xml:space="preserve">Counted by formula over the Staging tab, so the rules are visible to a reviewer and cannot drift from the macro without the control at the bottom of this sheet catching it.</t>
  </si>
  <si>
    <t xml:space="preserve">RULES</t>
  </si>
  <si>
    <t xml:space="preserve">Rule</t>
  </si>
  <si>
    <t xml:space="preserve">Lines</t>
  </si>
  <si>
    <t xml:space="preserve">Value EUR</t>
  </si>
  <si>
    <t xml:space="preserve">Severity</t>
  </si>
  <si>
    <t xml:space="preserve">What to do with it</t>
  </si>
  <si>
    <t xml:space="preserve">Account not on the mapping table</t>
  </si>
  <si>
    <t xml:space="preserve">High</t>
  </si>
  <si>
    <t xml:space="preserve">Ask the GL team to reclassify, or add the account to the Mapping tab. Until then it sits in an UNMAPPED line on the report so the total still ties.</t>
  </si>
  <si>
    <t xml:space="preserve">Posting with no cost centre</t>
  </si>
  <si>
    <t xml:space="preserve">Cannot be reported to an owner. Send back to GL for a cost centre assignment before the pack is issued.</t>
  </si>
  <si>
    <t xml:space="preserve">Same document posted twice</t>
  </si>
  <si>
    <t xml:space="preserve">Same account, document number and amount. Confirm with GL whether it needs reversing.</t>
  </si>
  <si>
    <t xml:space="preserve">Credit on an expense account</t>
  </si>
  <si>
    <t xml:space="preserve">Medium</t>
  </si>
  <si>
    <t xml:space="preserve">Usually a legitimate credit note, occasionally a posting in the wrong direction. Worth a look, not worth stopping the pack.</t>
  </si>
  <si>
    <t xml:space="preserve">Spend with no budget line</t>
  </si>
  <si>
    <t xml:space="preserve">The cost centre or line has actuals but the planning file has no budget for it. Without this flag the variance reads as a pure overspend.</t>
  </si>
  <si>
    <t xml:space="preserve">Lines flagged, total</t>
  </si>
  <si>
    <t xml:space="preserve">A line can break more than one rule, so the rule counts above do not add to this figure.</t>
  </si>
  <si>
    <t xml:space="preserve">CONTROLS OVER THE TOOL ITSELF</t>
  </si>
  <si>
    <t xml:space="preserve">Control</t>
  </si>
  <si>
    <t xml:space="preserve">Expected</t>
  </si>
  <si>
    <t xml:space="preserve">Why it is here</t>
  </si>
  <si>
    <t xml:space="preserve">Every macro flag re-derived on the sheet agrees with the macro</t>
  </si>
  <si>
    <t xml:space="preserve">The rules on this sheet are worksheet formulas written from the documented logic. If the macro ever drifts from the documentation, the two stop agreeing and this control fails.</t>
  </si>
  <si>
    <t xml:space="preserve">Staged total agrees to the report</t>
  </si>
  <si>
    <t xml:space="preserve">The report is built from the staging table, so the two must be the same figure. This is the test the manual pack never passed.</t>
  </si>
  <si>
    <t xml:space="preserve">Staged total agrees to the source export</t>
  </si>
  <si>
    <t xml:space="preserve">Control total in against control total out. A difference means a line was lost or double counted on import, and the run fails.</t>
  </si>
  <si>
    <t xml:space="preserve">Every reported cost centre other than UNASSIGNED has an owner</t>
  </si>
  <si>
    <t xml:space="preserve">A pack that cannot be addressed to anyone will not be sent, and the spend on it will not be challenged. UNASSIGNED is excluded here because it is itself an exception, reported on the rule above.</t>
  </si>
  <si>
    <t xml:space="preserve">STAGING TABLE - WRITTEN BY THE MACRO</t>
  </si>
  <si>
    <t xml:space="preserve">Halcyon Metalworks Kft.  |  June 2026 (period 006)  |  columns B to J are written by modOutput.WriteStaging in a single array write. Columns K to M are the workbook re-deriving the macro's own flags and comparing them.</t>
  </si>
  <si>
    <t xml:space="preserve">Account</t>
  </si>
  <si>
    <t xml:space="preserve">Doc date</t>
  </si>
  <si>
    <t xml:space="preserve">Doc no.</t>
  </si>
  <si>
    <t xml:space="preserve">Text</t>
  </si>
  <si>
    <t xml:space="preserve">Amount EUR</t>
  </si>
  <si>
    <t xml:space="preserve">Flag (written by the macro)</t>
  </si>
  <si>
    <t xml:space="preserve">Period</t>
  </si>
  <si>
    <t xml:space="preserve">Rule string (re-derived on the sheet)</t>
  </si>
  <si>
    <t xml:space="preserve">Flag re-derived</t>
  </si>
  <si>
    <t xml:space="preserve">Agrees?</t>
  </si>
  <si>
    <t xml:space="preserve">550100</t>
  </si>
  <si>
    <t xml:space="preserve">1900046262</t>
  </si>
  <si>
    <t xml:space="preserve">Server hosting June - cost centre not derived</t>
  </si>
  <si>
    <t xml:space="preserve">NO COST CENTRE NO BUDGET</t>
  </si>
  <si>
    <t xml:space="preserve">520300</t>
  </si>
  <si>
    <t xml:space="preserve">1900045123</t>
  </si>
  <si>
    <t xml:space="preserve">Agency operators wk 26 - Trenkwalder Kft.</t>
  </si>
  <si>
    <t xml:space="preserve">OK</t>
  </si>
  <si>
    <t xml:space="preserve">520200</t>
  </si>
  <si>
    <t xml:space="preserve">1900045116</t>
  </si>
  <si>
    <t xml:space="preserve">Social contribution June - Payroll journal</t>
  </si>
  <si>
    <t xml:space="preserve">530100</t>
  </si>
  <si>
    <t xml:space="preserve">1900045135</t>
  </si>
  <si>
    <t xml:space="preserve">Preventive maintenance visit - DMG Mori Service</t>
  </si>
  <si>
    <t xml:space="preserve">1900045120</t>
  </si>
  <si>
    <t xml:space="preserve">Agency operators wk 23 - Prohuman 2004 Kft.</t>
  </si>
  <si>
    <t xml:space="preserve">560110</t>
  </si>
  <si>
    <t xml:space="preserve">1900045158</t>
  </si>
  <si>
    <t xml:space="preserve">Depreciation June 2026 - Depreciation run AFA-06/2026</t>
  </si>
  <si>
    <t xml:space="preserve">510100</t>
  </si>
  <si>
    <t xml:space="preserve">1900045062</t>
  </si>
  <si>
    <t xml:space="preserve">Electricity June 2026 - MVM Next Energiakereskedo</t>
  </si>
  <si>
    <t xml:space="preserve">520120</t>
  </si>
  <si>
    <t xml:space="preserve">1900045113</t>
  </si>
  <si>
    <t xml:space="preserve">Overtime June - Payroll journal</t>
  </si>
  <si>
    <t xml:space="preserve">520110</t>
  </si>
  <si>
    <t xml:space="preserve">1900045109</t>
  </si>
  <si>
    <t xml:space="preserve">Overtime June - Payroll journal - correction</t>
  </si>
  <si>
    <t xml:space="preserve">510110</t>
  </si>
  <si>
    <t xml:space="preserve">1900045041</t>
  </si>
  <si>
    <t xml:space="preserve">Peak demand charge - E.ON Hungaria</t>
  </si>
  <si>
    <t xml:space="preserve">530120</t>
  </si>
  <si>
    <t xml:space="preserve">1900045130</t>
  </si>
  <si>
    <t xml:space="preserve">Emergency callout - MRO Industrieservice</t>
  </si>
  <si>
    <t xml:space="preserve">1900045146</t>
  </si>
  <si>
    <t xml:space="preserve">Hydraulic hose set - Hidro-Tech Kft.</t>
  </si>
  <si>
    <t xml:space="preserve">550310</t>
  </si>
  <si>
    <t xml:space="preserve">1900045155</t>
  </si>
  <si>
    <t xml:space="preserve">Customer visit Wolfsburg - Travel expense claim</t>
  </si>
  <si>
    <t xml:space="preserve">1900045076</t>
  </si>
  <si>
    <t xml:space="preserve">520100</t>
  </si>
  <si>
    <t xml:space="preserve">1900045104</t>
  </si>
  <si>
    <t xml:space="preserve">Salaries June 2026 - Payroll journal - correction</t>
  </si>
  <si>
    <t xml:space="preserve">1900045050</t>
  </si>
  <si>
    <t xml:space="preserve">1900045072</t>
  </si>
  <si>
    <t xml:space="preserve">1900045126</t>
  </si>
  <si>
    <t xml:space="preserve">1900045040</t>
  </si>
  <si>
    <t xml:space="preserve">500210</t>
  </si>
  <si>
    <t xml:space="preserve">1900045033</t>
  </si>
  <si>
    <t xml:space="preserve">Gauge blocks recalibration - Wurth Szerelveny Kft.</t>
  </si>
  <si>
    <t xml:space="preserve">1900045054</t>
  </si>
  <si>
    <t xml:space="preserve">Peak demand charge - MVM Next Energiakereskedo</t>
  </si>
  <si>
    <t xml:space="preserve">1900045022</t>
  </si>
  <si>
    <t xml:space="preserve">Deburring media - Hoffmann Group</t>
  </si>
  <si>
    <t xml:space="preserve">520410</t>
  </si>
  <si>
    <t xml:space="preserve">1900045128</t>
  </si>
  <si>
    <t xml:space="preserve">Job advert - CNC setter - TUV Rheinland</t>
  </si>
  <si>
    <t xml:space="preserve">1900045132</t>
  </si>
  <si>
    <t xml:space="preserve">1900045008</t>
  </si>
  <si>
    <t xml:space="preserve">End mills 12mm - Hoffmann Group</t>
  </si>
  <si>
    <t xml:space="preserve">550120</t>
  </si>
  <si>
    <t xml:space="preserve">1900045151</t>
  </si>
  <si>
    <t xml:space="preserve">MES licence June - Microsoft Ireland</t>
  </si>
  <si>
    <t xml:space="preserve">520210</t>
  </si>
  <si>
    <t xml:space="preserve">1900045114</t>
  </si>
  <si>
    <t xml:space="preserve">Social contribution June - NAV contribution accrual</t>
  </si>
  <si>
    <t xml:space="preserve">1900045056</t>
  </si>
  <si>
    <t xml:space="preserve">1900045061</t>
  </si>
  <si>
    <t xml:space="preserve">1900045084</t>
  </si>
  <si>
    <t xml:space="preserve">Wages June 2026 - Payroll journal</t>
  </si>
  <si>
    <t xml:space="preserve">520130</t>
  </si>
  <si>
    <t xml:space="preserve">1900045111</t>
  </si>
  <si>
    <t xml:space="preserve">Shift premium June - Payroll journal</t>
  </si>
  <si>
    <t xml:space="preserve">1900045031</t>
  </si>
  <si>
    <t xml:space="preserve">Deburring media - Precision Tooling Partners</t>
  </si>
  <si>
    <t xml:space="preserve">1900045124</t>
  </si>
  <si>
    <t xml:space="preserve">Agency operators wk 25 - Randstad Hungary</t>
  </si>
  <si>
    <t xml:space="preserve">1900045043</t>
  </si>
  <si>
    <t xml:space="preserve">Gas June 2026 - MVM Next Energiakereskedo</t>
  </si>
  <si>
    <t xml:space="preserve">1900045028</t>
  </si>
  <si>
    <t xml:space="preserve">Coolant concentrate 200L - Precision Tooling Partners</t>
  </si>
  <si>
    <t xml:space="preserve">1900045107</t>
  </si>
  <si>
    <t xml:space="preserve">560100</t>
  </si>
  <si>
    <t xml:space="preserve">1900045157</t>
  </si>
  <si>
    <t xml:space="preserve">1900045005</t>
  </si>
  <si>
    <t xml:space="preserve">Gauge blocks recalibration - Precision Tooling Partners</t>
  </si>
  <si>
    <t xml:space="preserve">530110</t>
  </si>
  <si>
    <t xml:space="preserve">1900045142</t>
  </si>
  <si>
    <t xml:space="preserve">Emergency callout - Hidro-Tech Kft.</t>
  </si>
  <si>
    <t xml:space="preserve">1900045034</t>
  </si>
  <si>
    <t xml:space="preserve">1900045017</t>
  </si>
  <si>
    <t xml:space="preserve">End mills 12mm - Wurth Szerelveny Kft.</t>
  </si>
  <si>
    <t xml:space="preserve">1900045136</t>
  </si>
  <si>
    <t xml:space="preserve">1900045097</t>
  </si>
  <si>
    <t xml:space="preserve">1900045066</t>
  </si>
  <si>
    <t xml:space="preserve">1900045127</t>
  </si>
  <si>
    <t xml:space="preserve">Agency operators wk 26 - Randstad Hungary</t>
  </si>
  <si>
    <t xml:space="preserve">1900045018</t>
  </si>
  <si>
    <t xml:space="preserve">1900045081</t>
  </si>
  <si>
    <t xml:space="preserve">Salaries June 2026 - Payroll journal</t>
  </si>
  <si>
    <t xml:space="preserve">1900045080</t>
  </si>
  <si>
    <t xml:space="preserve">1900045093</t>
  </si>
  <si>
    <t xml:space="preserve">1900045121</t>
  </si>
  <si>
    <t xml:space="preserve">Agency operators wk 25 - Trenkwalder Kft.</t>
  </si>
  <si>
    <t xml:space="preserve">1900045149</t>
  </si>
  <si>
    <t xml:space="preserve">Emergency callout - DMG Mori Service</t>
  </si>
  <si>
    <t xml:space="preserve">1900045055</t>
  </si>
  <si>
    <t xml:space="preserve">1900045024</t>
  </si>
  <si>
    <t xml:space="preserve">1900045138</t>
  </si>
  <si>
    <t xml:space="preserve">Preventive maintenance visit - Hidro-Tech Kft.</t>
  </si>
  <si>
    <t xml:space="preserve">1900045053</t>
  </si>
  <si>
    <t xml:space="preserve">Gas June 2026 - E.ON Hungaria</t>
  </si>
  <si>
    <t xml:space="preserve">1900045088</t>
  </si>
  <si>
    <t xml:space="preserve">1900045073</t>
  </si>
  <si>
    <t xml:space="preserve">1900045012</t>
  </si>
  <si>
    <t xml:space="preserve">Deburring media - Wurth Szerelveny Kft.</t>
  </si>
  <si>
    <t xml:space="preserve">1900045038</t>
  </si>
  <si>
    <t xml:space="preserve">1900045046</t>
  </si>
  <si>
    <t xml:space="preserve">500200</t>
  </si>
  <si>
    <t xml:space="preserve">1900045030</t>
  </si>
  <si>
    <t xml:space="preserve">1900045134</t>
  </si>
  <si>
    <t xml:space="preserve">Spindle bearing replacement M7 - Hidro-Tech Kft.</t>
  </si>
  <si>
    <t xml:space="preserve">1900045083</t>
  </si>
  <si>
    <t xml:space="preserve">Wages June 2026 - Payroll journal - correction</t>
  </si>
  <si>
    <t xml:space="preserve">1900045103</t>
  </si>
  <si>
    <t xml:space="preserve">1900046264</t>
  </si>
  <si>
    <t xml:space="preserve">Energy rebate Q1 - MVM Next Energiakereskedo</t>
  </si>
  <si>
    <t xml:space="preserve">CREDIT</t>
  </si>
  <si>
    <t xml:space="preserve">1900045085</t>
  </si>
  <si>
    <t xml:space="preserve">1900045077</t>
  </si>
  <si>
    <t xml:space="preserve">1900045044</t>
  </si>
  <si>
    <t xml:space="preserve">1900045140</t>
  </si>
  <si>
    <t xml:space="preserve">1900045002</t>
  </si>
  <si>
    <t xml:space="preserve">Coolant concentrate 200L - Wurth Szerelveny Kft.</t>
  </si>
  <si>
    <t xml:space="preserve">1900045014</t>
  </si>
  <si>
    <t xml:space="preserve">Gauge blocks recalibration - Hoffmann Group</t>
  </si>
  <si>
    <t xml:space="preserve">1900045059</t>
  </si>
  <si>
    <t xml:space="preserve">Electricity June 2026 - E.ON Hungaria</t>
  </si>
  <si>
    <t xml:space="preserve">1900045070</t>
  </si>
  <si>
    <t xml:space="preserve">1900045091</t>
  </si>
  <si>
    <t xml:space="preserve">1900045101</t>
  </si>
  <si>
    <t xml:space="preserve">Shift premium June - Payroll journal - correction</t>
  </si>
  <si>
    <t xml:space="preserve">1900045193</t>
  </si>
  <si>
    <t xml:space="preserve">550300</t>
  </si>
  <si>
    <t xml:space="preserve">1900045341</t>
  </si>
  <si>
    <t xml:space="preserve">Mileage claim - Danubius Hotels</t>
  </si>
  <si>
    <t xml:space="preserve">1900045232</t>
  </si>
  <si>
    <t xml:space="preserve">1900045316</t>
  </si>
  <si>
    <t xml:space="preserve">Hydraulic hose set - DMG Mori Service</t>
  </si>
  <si>
    <t xml:space="preserve">1900045279</t>
  </si>
  <si>
    <t xml:space="preserve">1900045197</t>
  </si>
  <si>
    <t xml:space="preserve">1900045183</t>
  </si>
  <si>
    <t xml:space="preserve">1900045207</t>
  </si>
  <si>
    <t xml:space="preserve">1900045335</t>
  </si>
  <si>
    <t xml:space="preserve">1900045186</t>
  </si>
  <si>
    <t xml:space="preserve">1900045276</t>
  </si>
  <si>
    <t xml:space="preserve">Agency operators wk 24 - Prohuman 2004 Kft.</t>
  </si>
  <si>
    <t xml:space="preserve">1900045298</t>
  </si>
  <si>
    <t xml:space="preserve">520400</t>
  </si>
  <si>
    <t xml:space="preserve">1900045314</t>
  </si>
  <si>
    <t xml:space="preserve">ISO 9001 internal auditor course - Profession.hu</t>
  </si>
  <si>
    <t xml:space="preserve">1900045220</t>
  </si>
  <si>
    <t xml:space="preserve">1900045327</t>
  </si>
  <si>
    <t xml:space="preserve">1900045251</t>
  </si>
  <si>
    <t xml:space="preserve">1900045159</t>
  </si>
  <si>
    <t xml:space="preserve">Carbide inserts CNMG - Wurth Szerelveny Kft.</t>
  </si>
  <si>
    <t xml:space="preserve">1900045174</t>
  </si>
  <si>
    <t xml:space="preserve">1900045294</t>
  </si>
  <si>
    <t xml:space="preserve">1900045211</t>
  </si>
  <si>
    <t xml:space="preserve">1900045338</t>
  </si>
  <si>
    <t xml:space="preserve">Helpdesk retainer - Microsoft Ireland</t>
  </si>
  <si>
    <t xml:space="preserve">1900045247</t>
  </si>
  <si>
    <t xml:space="preserve">1900045268</t>
  </si>
  <si>
    <t xml:space="preserve">Vocational levy June - NAV contribution accrual</t>
  </si>
  <si>
    <t xml:space="preserve">1900045325</t>
  </si>
  <si>
    <t xml:space="preserve">Hydraulic hose set - MRO Industrieservice</t>
  </si>
  <si>
    <t xml:space="preserve">1900045318</t>
  </si>
  <si>
    <t xml:space="preserve">1900045209</t>
  </si>
  <si>
    <t xml:space="preserve">1900045321</t>
  </si>
  <si>
    <t xml:space="preserve">1900046268</t>
  </si>
  <si>
    <t xml:space="preserve">Agency credit note wk 21 - Trenkwalder Kft.</t>
  </si>
  <si>
    <t xml:space="preserve">1900045231</t>
  </si>
  <si>
    <t xml:space="preserve">1900045260</t>
  </si>
  <si>
    <t xml:space="preserve">1900045329</t>
  </si>
  <si>
    <t xml:space="preserve">Spindle bearing replacement M7 - MRO Industrieservice</t>
  </si>
  <si>
    <t xml:space="preserve">1900045293</t>
  </si>
  <si>
    <t xml:space="preserve">Agency operators wk 24 - Randstad Hungary</t>
  </si>
  <si>
    <t xml:space="preserve">1900045178</t>
  </si>
  <si>
    <t xml:space="preserve">End mills 12mm - Precision Tooling Partners</t>
  </si>
  <si>
    <t xml:space="preserve">1900045269</t>
  </si>
  <si>
    <t xml:space="preserve">1900045281</t>
  </si>
  <si>
    <t xml:space="preserve">Agency operators wk 26 - Prohuman 2004 Kft.</t>
  </si>
  <si>
    <t xml:space="preserve">1900045179</t>
  </si>
  <si>
    <t xml:space="preserve">1900045270</t>
  </si>
  <si>
    <t xml:space="preserve">1900045306</t>
  </si>
  <si>
    <t xml:space="preserve">Agency operators wk 23 - Randstad Hungary</t>
  </si>
  <si>
    <t xml:space="preserve">1900045304</t>
  </si>
  <si>
    <t xml:space="preserve">1900045248</t>
  </si>
  <si>
    <t xml:space="preserve">1900045241</t>
  </si>
  <si>
    <t xml:space="preserve">1900045227</t>
  </si>
  <si>
    <t xml:space="preserve">1900045229</t>
  </si>
  <si>
    <t xml:space="preserve">1900045217</t>
  </si>
  <si>
    <t xml:space="preserve">1900045244</t>
  </si>
  <si>
    <t xml:space="preserve">1900045204</t>
  </si>
  <si>
    <t xml:space="preserve">1900045168</t>
  </si>
  <si>
    <t xml:space="preserve">1900045310</t>
  </si>
  <si>
    <t xml:space="preserve">1900045200</t>
  </si>
  <si>
    <t xml:space="preserve">1900045345</t>
  </si>
  <si>
    <t xml:space="preserve">1900045291</t>
  </si>
  <si>
    <t xml:space="preserve">1900045208</t>
  </si>
  <si>
    <t xml:space="preserve">1900045162</t>
  </si>
  <si>
    <t xml:space="preserve">1900045215</t>
  </si>
  <si>
    <t xml:space="preserve">1900045173</t>
  </si>
  <si>
    <t xml:space="preserve">1900045347</t>
  </si>
  <si>
    <t xml:space="preserve">1900045320</t>
  </si>
  <si>
    <t xml:space="preserve">1900045189</t>
  </si>
  <si>
    <t xml:space="preserve">1900045239</t>
  </si>
  <si>
    <t xml:space="preserve">1900045235</t>
  </si>
  <si>
    <t xml:space="preserve">1900045284</t>
  </si>
  <si>
    <t xml:space="preserve">Agency operators wk 24 - Trenkwalder Kft.</t>
  </si>
  <si>
    <t xml:space="preserve">1900045332</t>
  </si>
  <si>
    <t xml:space="preserve">Preventive maintenance visit - MRO Industrieservice</t>
  </si>
  <si>
    <t xml:space="preserve">1900045191</t>
  </si>
  <si>
    <t xml:space="preserve">1900045274</t>
  </si>
  <si>
    <t xml:space="preserve">1900045266</t>
  </si>
  <si>
    <t xml:space="preserve">1900045264</t>
  </si>
  <si>
    <t xml:space="preserve">1900045172</t>
  </si>
  <si>
    <t xml:space="preserve">Carbide inserts CNMG - Precision Tooling Partners</t>
  </si>
  <si>
    <t xml:space="preserve">1900045297</t>
  </si>
  <si>
    <t xml:space="preserve">1900045185</t>
  </si>
  <si>
    <t xml:space="preserve">1900045210</t>
  </si>
  <si>
    <t xml:space="preserve">1900045226</t>
  </si>
  <si>
    <t xml:space="preserve">1900045246</t>
  </si>
  <si>
    <t xml:space="preserve">1900045272</t>
  </si>
  <si>
    <t xml:space="preserve">1900045300</t>
  </si>
  <si>
    <t xml:space="preserve">1900045165</t>
  </si>
  <si>
    <t xml:space="preserve">1900045224</t>
  </si>
  <si>
    <t xml:space="preserve">1900045254</t>
  </si>
  <si>
    <t xml:space="preserve">1900045256</t>
  </si>
  <si>
    <t xml:space="preserve">1900045288</t>
  </si>
  <si>
    <t xml:space="preserve">Agency operators wk 23 - Trenkwalder Kft.</t>
  </si>
  <si>
    <t xml:space="preserve">1900045221</t>
  </si>
  <si>
    <t xml:space="preserve">1900045282</t>
  </si>
  <si>
    <t xml:space="preserve">1900045212</t>
  </si>
  <si>
    <t xml:space="preserve">1900045245</t>
  </si>
  <si>
    <t xml:space="preserve">1900045430</t>
  </si>
  <si>
    <t xml:space="preserve">1900045464</t>
  </si>
  <si>
    <t xml:space="preserve">1900045442</t>
  </si>
  <si>
    <t xml:space="preserve">1900045378</t>
  </si>
  <si>
    <t xml:space="preserve">1900045360</t>
  </si>
  <si>
    <t xml:space="preserve">1900045407</t>
  </si>
  <si>
    <t xml:space="preserve">1900045444</t>
  </si>
  <si>
    <t xml:space="preserve">1900045434</t>
  </si>
  <si>
    <t xml:space="preserve">1900045388</t>
  </si>
  <si>
    <t xml:space="preserve">1900045364</t>
  </si>
  <si>
    <t xml:space="preserve">1900045351</t>
  </si>
  <si>
    <t xml:space="preserve">1900045484</t>
  </si>
  <si>
    <t xml:space="preserve">Customer visit Stuttgart - Danubius Hotels</t>
  </si>
  <si>
    <t xml:space="preserve">1900045471</t>
  </si>
  <si>
    <t xml:space="preserve">1900045356</t>
  </si>
  <si>
    <t xml:space="preserve">1900045479</t>
  </si>
  <si>
    <t xml:space="preserve">1900045455</t>
  </si>
  <si>
    <t xml:space="preserve">1900045466</t>
  </si>
  <si>
    <t xml:space="preserve">1900045420</t>
  </si>
  <si>
    <t xml:space="preserve">1900045358</t>
  </si>
  <si>
    <t xml:space="preserve">1900045453</t>
  </si>
  <si>
    <t xml:space="preserve">1900045452</t>
  </si>
  <si>
    <t xml:space="preserve">1900045389</t>
  </si>
  <si>
    <t xml:space="preserve">1900045445</t>
  </si>
  <si>
    <t xml:space="preserve">1900045436</t>
  </si>
  <si>
    <t xml:space="preserve">1900045432</t>
  </si>
  <si>
    <t xml:space="preserve">1900045426</t>
  </si>
  <si>
    <t xml:space="preserve">1900045404</t>
  </si>
  <si>
    <t xml:space="preserve">1900045485</t>
  </si>
  <si>
    <t xml:space="preserve">1900045394</t>
  </si>
  <si>
    <t xml:space="preserve">1900045403</t>
  </si>
  <si>
    <t xml:space="preserve">1900045411</t>
  </si>
  <si>
    <t xml:space="preserve">1900045398</t>
  </si>
  <si>
    <t xml:space="preserve">1900045413</t>
  </si>
  <si>
    <t xml:space="preserve">1900045449</t>
  </si>
  <si>
    <t xml:space="preserve">Vocational levy June - Payroll journal</t>
  </si>
  <si>
    <t xml:space="preserve">1900045373</t>
  </si>
  <si>
    <t xml:space="preserve">1900045440</t>
  </si>
  <si>
    <t xml:space="preserve">1900045423</t>
  </si>
  <si>
    <t xml:space="preserve">1900045457</t>
  </si>
  <si>
    <t xml:space="preserve">Agency operators wk 25 - Prohuman 2004 Kft.</t>
  </si>
  <si>
    <t xml:space="preserve">1900045368</t>
  </si>
  <si>
    <t xml:space="preserve">1900045477</t>
  </si>
  <si>
    <t xml:space="preserve">1900045418</t>
  </si>
  <si>
    <t xml:space="preserve">1900045458</t>
  </si>
  <si>
    <t xml:space="preserve">1900045359</t>
  </si>
  <si>
    <t xml:space="preserve">1900045353</t>
  </si>
  <si>
    <t xml:space="preserve">1900045462</t>
  </si>
  <si>
    <t xml:space="preserve">Forklift licence renewal - Lean Institute HU</t>
  </si>
  <si>
    <t xml:space="preserve">1900045397</t>
  </si>
  <si>
    <t xml:space="preserve">1900045415</t>
  </si>
  <si>
    <t xml:space="preserve">1900045384</t>
  </si>
  <si>
    <t xml:space="preserve">1900045441</t>
  </si>
  <si>
    <t xml:space="preserve">1900046266</t>
  </si>
  <si>
    <t xml:space="preserve">Return of unused coolant - Wurth Szerelveny Kft.</t>
  </si>
  <si>
    <t xml:space="preserve">1900045370</t>
  </si>
  <si>
    <t xml:space="preserve">1900045487</t>
  </si>
  <si>
    <t xml:space="preserve">1900045427</t>
  </si>
  <si>
    <t xml:space="preserve">1900045374</t>
  </si>
  <si>
    <t xml:space="preserve">1900045399</t>
  </si>
  <si>
    <t xml:space="preserve">550110</t>
  </si>
  <si>
    <t xml:space="preserve">1900045480</t>
  </si>
  <si>
    <t xml:space="preserve">Mobile fleet June - Microsoft Ireland</t>
  </si>
  <si>
    <t xml:space="preserve">1900045468</t>
  </si>
  <si>
    <t xml:space="preserve">1900045412</t>
  </si>
  <si>
    <t xml:space="preserve">1900045439</t>
  </si>
  <si>
    <t xml:space="preserve">1900045381</t>
  </si>
  <si>
    <t xml:space="preserve">1900045392</t>
  </si>
  <si>
    <t xml:space="preserve">1900045474</t>
  </si>
  <si>
    <t xml:space="preserve">1900045366</t>
  </si>
  <si>
    <t xml:space="preserve">1900045567</t>
  </si>
  <si>
    <t xml:space="preserve">1900045554</t>
  </si>
  <si>
    <t xml:space="preserve">1900045509</t>
  </si>
  <si>
    <t xml:space="preserve">1900045564</t>
  </si>
  <si>
    <t xml:space="preserve">Forklift licence renewal - TUV Rheinland</t>
  </si>
  <si>
    <t xml:space="preserve">1900045506</t>
  </si>
  <si>
    <t xml:space="preserve">1900045569</t>
  </si>
  <si>
    <t xml:space="preserve">1900045558</t>
  </si>
  <si>
    <t xml:space="preserve">1900045532</t>
  </si>
  <si>
    <t xml:space="preserve">1900045572</t>
  </si>
  <si>
    <t xml:space="preserve">MES licence June - Magyar Telekom</t>
  </si>
  <si>
    <t xml:space="preserve">1900045503</t>
  </si>
  <si>
    <t xml:space="preserve">1900045516</t>
  </si>
  <si>
    <t xml:space="preserve">1900045556</t>
  </si>
  <si>
    <t xml:space="preserve">1900045553</t>
  </si>
  <si>
    <t xml:space="preserve">1900045504</t>
  </si>
  <si>
    <t xml:space="preserve">1900045495</t>
  </si>
  <si>
    <t xml:space="preserve">1900045522</t>
  </si>
  <si>
    <t xml:space="preserve">1900045492</t>
  </si>
  <si>
    <t xml:space="preserve">1900045544</t>
  </si>
  <si>
    <t xml:space="preserve">1900045548</t>
  </si>
  <si>
    <t xml:space="preserve">1900045513</t>
  </si>
  <si>
    <t xml:space="preserve">1900045537</t>
  </si>
  <si>
    <t xml:space="preserve">1900045539</t>
  </si>
  <si>
    <t xml:space="preserve">1900045563</t>
  </si>
  <si>
    <t xml:space="preserve">1900045526</t>
  </si>
  <si>
    <t xml:space="preserve">1900045577</t>
  </si>
  <si>
    <t xml:space="preserve">1900045519</t>
  </si>
  <si>
    <t xml:space="preserve">1900045568</t>
  </si>
  <si>
    <t xml:space="preserve">1900045530</t>
  </si>
  <si>
    <t xml:space="preserve">1900045576</t>
  </si>
  <si>
    <t xml:space="preserve">1900045560</t>
  </si>
  <si>
    <t xml:space="preserve">1900045551</t>
  </si>
  <si>
    <t xml:space="preserve">1900045498</t>
  </si>
  <si>
    <t xml:space="preserve">1900045491</t>
  </si>
  <si>
    <t xml:space="preserve">1900045573</t>
  </si>
  <si>
    <t xml:space="preserve">Hotel - audit team - Travel expense claim</t>
  </si>
  <si>
    <t xml:space="preserve">1900045555</t>
  </si>
  <si>
    <t xml:space="preserve">1900045502</t>
  </si>
  <si>
    <t xml:space="preserve">1900045540</t>
  </si>
  <si>
    <t xml:space="preserve">1900045536</t>
  </si>
  <si>
    <t xml:space="preserve">1900045500</t>
  </si>
  <si>
    <t xml:space="preserve">1900045549</t>
  </si>
  <si>
    <t xml:space="preserve">1900045579</t>
  </si>
  <si>
    <t xml:space="preserve">DUPLICATE</t>
  </si>
  <si>
    <t xml:space="preserve">1900045603</t>
  </si>
  <si>
    <t xml:space="preserve">550210</t>
  </si>
  <si>
    <t xml:space="preserve">1900045636</t>
  </si>
  <si>
    <t xml:space="preserve">Transfer pricing documentation 2025 - Deloitte Hungary</t>
  </si>
  <si>
    <t xml:space="preserve">1900045627</t>
  </si>
  <si>
    <t xml:space="preserve">1900045599</t>
  </si>
  <si>
    <t xml:space="preserve">1900045595</t>
  </si>
  <si>
    <t xml:space="preserve">1900045622</t>
  </si>
  <si>
    <t xml:space="preserve">1900045606</t>
  </si>
  <si>
    <t xml:space="preserve">1900045615</t>
  </si>
  <si>
    <t xml:space="preserve">1900045617</t>
  </si>
  <si>
    <t xml:space="preserve">1900045587</t>
  </si>
  <si>
    <t xml:space="preserve">1900045640</t>
  </si>
  <si>
    <t xml:space="preserve">Hotel - audit team - Wizz Air</t>
  </si>
  <si>
    <t xml:space="preserve">1900045584</t>
  </si>
  <si>
    <t xml:space="preserve">1900045598</t>
  </si>
  <si>
    <t xml:space="preserve">1900045594</t>
  </si>
  <si>
    <t xml:space="preserve">1900045591</t>
  </si>
  <si>
    <t xml:space="preserve">1900045643</t>
  </si>
  <si>
    <t xml:space="preserve">1900045629</t>
  </si>
  <si>
    <t xml:space="preserve">1900045624</t>
  </si>
  <si>
    <t xml:space="preserve">1900045613</t>
  </si>
  <si>
    <t xml:space="preserve">1900045583</t>
  </si>
  <si>
    <t xml:space="preserve">1900045644</t>
  </si>
  <si>
    <t xml:space="preserve">1900045610</t>
  </si>
  <si>
    <t xml:space="preserve">1900045585</t>
  </si>
  <si>
    <t xml:space="preserve">1900045619</t>
  </si>
  <si>
    <t xml:space="preserve">1900045608</t>
  </si>
  <si>
    <t xml:space="preserve">1900045632</t>
  </si>
  <si>
    <t xml:space="preserve">1900045713</t>
  </si>
  <si>
    <t xml:space="preserve">1900045698</t>
  </si>
  <si>
    <t xml:space="preserve">1900045724</t>
  </si>
  <si>
    <t xml:space="preserve">1900045709</t>
  </si>
  <si>
    <t xml:space="preserve">1900045699</t>
  </si>
  <si>
    <t xml:space="preserve">1900045726</t>
  </si>
  <si>
    <t xml:space="preserve">1900045697</t>
  </si>
  <si>
    <t xml:space="preserve">1900045758</t>
  </si>
  <si>
    <t xml:space="preserve">1900045673</t>
  </si>
  <si>
    <t xml:space="preserve">1900045733</t>
  </si>
  <si>
    <t xml:space="preserve">1900045731</t>
  </si>
  <si>
    <t xml:space="preserve">1900045703</t>
  </si>
  <si>
    <t xml:space="preserve">Job advert - CNC setter - Profession.hu</t>
  </si>
  <si>
    <t xml:space="preserve">1900045668</t>
  </si>
  <si>
    <t xml:space="preserve">1900045693</t>
  </si>
  <si>
    <t xml:space="preserve">1900045678</t>
  </si>
  <si>
    <t xml:space="preserve">1900045718</t>
  </si>
  <si>
    <t xml:space="preserve">1900045741</t>
  </si>
  <si>
    <t xml:space="preserve">1900045745</t>
  </si>
  <si>
    <t xml:space="preserve">1900045754</t>
  </si>
  <si>
    <t xml:space="preserve">1900045707</t>
  </si>
  <si>
    <t xml:space="preserve">1900045736</t>
  </si>
  <si>
    <t xml:space="preserve">1900045671</t>
  </si>
  <si>
    <t xml:space="preserve">1900045677</t>
  </si>
  <si>
    <t xml:space="preserve">1900045665</t>
  </si>
  <si>
    <t xml:space="preserve">1900045743</t>
  </si>
  <si>
    <t xml:space="preserve">1900045687</t>
  </si>
  <si>
    <t xml:space="preserve">1900045691</t>
  </si>
  <si>
    <t xml:space="preserve">1900045651</t>
  </si>
  <si>
    <t xml:space="preserve">1900045661</t>
  </si>
  <si>
    <t xml:space="preserve">1900045721</t>
  </si>
  <si>
    <t xml:space="preserve">Spindle bearing replacement M7 - DMG Mori Service</t>
  </si>
  <si>
    <t xml:space="preserve">1900045682</t>
  </si>
  <si>
    <t xml:space="preserve">1900045685</t>
  </si>
  <si>
    <t xml:space="preserve">1900045729</t>
  </si>
  <si>
    <t xml:space="preserve">1900045649</t>
  </si>
  <si>
    <t xml:space="preserve">1900045750</t>
  </si>
  <si>
    <t xml:space="preserve">Customer visit Wolfsburg - Danubius Hotels</t>
  </si>
  <si>
    <t xml:space="preserve">1900045657</t>
  </si>
  <si>
    <t xml:space="preserve">1900045646</t>
  </si>
  <si>
    <t xml:space="preserve">1900045680</t>
  </si>
  <si>
    <t xml:space="preserve">1900045744</t>
  </si>
  <si>
    <t xml:space="preserve">1900045720</t>
  </si>
  <si>
    <t xml:space="preserve">1900045714</t>
  </si>
  <si>
    <t xml:space="preserve">1900045747</t>
  </si>
  <si>
    <t xml:space="preserve">1900045653</t>
  </si>
  <si>
    <t xml:space="preserve">Coolant concentrate 200L - Hoffmann Group</t>
  </si>
  <si>
    <t xml:space="preserve">1900045740</t>
  </si>
  <si>
    <t xml:space="preserve">540110</t>
  </si>
  <si>
    <t xml:space="preserve">1900045879</t>
  </si>
  <si>
    <t xml:space="preserve">Groupage AT wk 25 - Waberer's</t>
  </si>
  <si>
    <t xml:space="preserve">1900045777</t>
  </si>
  <si>
    <t xml:space="preserve">1900045908</t>
  </si>
  <si>
    <t xml:space="preserve">540100</t>
  </si>
  <si>
    <t xml:space="preserve">1900045852</t>
  </si>
  <si>
    <t xml:space="preserve">Groupage DE wk 24 - Raben Trans European</t>
  </si>
  <si>
    <t xml:space="preserve">1900045902</t>
  </si>
  <si>
    <t xml:space="preserve">Hotel - audit team - Danubius Hotels</t>
  </si>
  <si>
    <t xml:space="preserve">1900045875</t>
  </si>
  <si>
    <t xml:space="preserve">Express shipment - line stop risk - Waberer's</t>
  </si>
  <si>
    <t xml:space="preserve">1900045888</t>
  </si>
  <si>
    <t xml:space="preserve">1900045809</t>
  </si>
  <si>
    <t xml:space="preserve">1900045867</t>
  </si>
  <si>
    <t xml:space="preserve">Groupage DE wk 24 - Waberer's</t>
  </si>
  <si>
    <t xml:space="preserve">1900045863</t>
  </si>
  <si>
    <t xml:space="preserve">Groupage AT wk 25 - TransCarpat Logistics</t>
  </si>
  <si>
    <t xml:space="preserve">1900045856</t>
  </si>
  <si>
    <t xml:space="preserve">Groupage DE wk 24 - TransCarpat Logistics</t>
  </si>
  <si>
    <t xml:space="preserve">530200</t>
  </si>
  <si>
    <t xml:space="preserve">1900045849</t>
  </si>
  <si>
    <t xml:space="preserve">Cleaning contract June - Gyor Ipari Park Kft.</t>
  </si>
  <si>
    <t xml:space="preserve">1900045796</t>
  </si>
  <si>
    <t xml:space="preserve">1900045905</t>
  </si>
  <si>
    <t xml:space="preserve">1900045874</t>
  </si>
  <si>
    <t xml:space="preserve">Export packaging - Waberer's</t>
  </si>
  <si>
    <t xml:space="preserve">1900045898</t>
  </si>
  <si>
    <t xml:space="preserve">Helpdesk retainer - 4iG Nyrt.</t>
  </si>
  <si>
    <t xml:space="preserve">1900045845</t>
  </si>
  <si>
    <t xml:space="preserve">1900045784</t>
  </si>
  <si>
    <t xml:space="preserve">1900045761</t>
  </si>
  <si>
    <t xml:space="preserve">1900045811</t>
  </si>
  <si>
    <t xml:space="preserve">1900045788</t>
  </si>
  <si>
    <t xml:space="preserve">1900045822</t>
  </si>
  <si>
    <t xml:space="preserve">1900045774</t>
  </si>
  <si>
    <t xml:space="preserve">1900045765</t>
  </si>
  <si>
    <t xml:space="preserve">1900045831</t>
  </si>
  <si>
    <t xml:space="preserve">1900045872</t>
  </si>
  <si>
    <t xml:space="preserve">639500</t>
  </si>
  <si>
    <t xml:space="preserve">1900046254</t>
  </si>
  <si>
    <t xml:space="preserve">Reclass pending - customs duty</t>
  </si>
  <si>
    <t xml:space="preserve">1900045886</t>
  </si>
  <si>
    <t xml:space="preserve">Groupage AT wk 25 - Raben Trans European</t>
  </si>
  <si>
    <t xml:space="preserve">1900046257</t>
  </si>
  <si>
    <t xml:space="preserve">Reclass pending - scrap proceeds offset</t>
  </si>
  <si>
    <t xml:space="preserve">1900045837</t>
  </si>
  <si>
    <t xml:space="preserve">1900045862</t>
  </si>
  <si>
    <t xml:space="preserve">1900045772</t>
  </si>
  <si>
    <t xml:space="preserve">1900045839</t>
  </si>
  <si>
    <t xml:space="preserve">ISO 9001 internal auditor course - Lean Institute HU</t>
  </si>
  <si>
    <t xml:space="preserve">1900045798</t>
  </si>
  <si>
    <t xml:space="preserve">1900045806</t>
  </si>
  <si>
    <t xml:space="preserve">1900045815</t>
  </si>
  <si>
    <t xml:space="preserve">1900045869</t>
  </si>
  <si>
    <t xml:space="preserve">1900045800</t>
  </si>
  <si>
    <t xml:space="preserve">1900045834</t>
  </si>
  <si>
    <t xml:space="preserve">1900045843</t>
  </si>
  <si>
    <t xml:space="preserve">1900045891</t>
  </si>
  <si>
    <t xml:space="preserve">1900045763</t>
  </si>
  <si>
    <t xml:space="preserve">1900046260</t>
  </si>
  <si>
    <t xml:space="preserve">Reclass pending - insurance recovery</t>
  </si>
  <si>
    <t xml:space="preserve">1900045768</t>
  </si>
  <si>
    <t xml:space="preserve">1900045780</t>
  </si>
  <si>
    <t xml:space="preserve">1900045818</t>
  </si>
  <si>
    <t xml:space="preserve">1900045882</t>
  </si>
  <si>
    <t xml:space="preserve">1900045803</t>
  </si>
  <si>
    <t xml:space="preserve">1900045792</t>
  </si>
  <si>
    <t xml:space="preserve">1900045897</t>
  </si>
  <si>
    <t xml:space="preserve">1900045844</t>
  </si>
  <si>
    <t xml:space="preserve">1900045894</t>
  </si>
  <si>
    <t xml:space="preserve">1900045858</t>
  </si>
  <si>
    <t xml:space="preserve">1900045823</t>
  </si>
  <si>
    <t xml:space="preserve">1900045827</t>
  </si>
  <si>
    <t xml:space="preserve">1900045853</t>
  </si>
  <si>
    <t xml:space="preserve">Export packaging - Raben Trans European</t>
  </si>
  <si>
    <t xml:space="preserve">1900045786</t>
  </si>
  <si>
    <t xml:space="preserve">1900045913</t>
  </si>
  <si>
    <t xml:space="preserve">1900045936</t>
  </si>
  <si>
    <t xml:space="preserve">1900045923</t>
  </si>
  <si>
    <t xml:space="preserve">1900045932</t>
  </si>
  <si>
    <t xml:space="preserve">ISO 9001 internal auditor course - TUV Rheinland</t>
  </si>
  <si>
    <t xml:space="preserve">1900045916</t>
  </si>
  <si>
    <t xml:space="preserve">1900045911</t>
  </si>
  <si>
    <t xml:space="preserve">1900045942</t>
  </si>
  <si>
    <t xml:space="preserve">1900045909</t>
  </si>
  <si>
    <t xml:space="preserve">1900045926</t>
  </si>
  <si>
    <t xml:space="preserve">1900045930</t>
  </si>
  <si>
    <t xml:space="preserve">1900045938</t>
  </si>
  <si>
    <t xml:space="preserve">1900045941</t>
  </si>
  <si>
    <t xml:space="preserve">Customer visit Stuttgart - Travel expense claim</t>
  </si>
  <si>
    <t xml:space="preserve">1900045925</t>
  </si>
  <si>
    <t xml:space="preserve">1900045920</t>
  </si>
  <si>
    <t xml:space="preserve">1900045910</t>
  </si>
  <si>
    <t xml:space="preserve">1900045929</t>
  </si>
  <si>
    <t xml:space="preserve">1900046006</t>
  </si>
  <si>
    <t xml:space="preserve">1900045976</t>
  </si>
  <si>
    <t xml:space="preserve">1900045958</t>
  </si>
  <si>
    <t xml:space="preserve">1900046019</t>
  </si>
  <si>
    <t xml:space="preserve">1900045969</t>
  </si>
  <si>
    <t xml:space="preserve">1900045991</t>
  </si>
  <si>
    <t xml:space="preserve">1900045961</t>
  </si>
  <si>
    <t xml:space="preserve">1900045946</t>
  </si>
  <si>
    <t xml:space="preserve">1900045953</t>
  </si>
  <si>
    <t xml:space="preserve">1900045949</t>
  </si>
  <si>
    <t xml:space="preserve">1900045992</t>
  </si>
  <si>
    <t xml:space="preserve">1900045984</t>
  </si>
  <si>
    <t xml:space="preserve">1900046025</t>
  </si>
  <si>
    <t xml:space="preserve">1900045962</t>
  </si>
  <si>
    <t xml:space="preserve">550200</t>
  </si>
  <si>
    <t xml:space="preserve">1900046012</t>
  </si>
  <si>
    <t xml:space="preserve">Transfer pricing documentation 2025 - Oppenheim Ugyvedi Iroda</t>
  </si>
  <si>
    <t xml:space="preserve">1900045998</t>
  </si>
  <si>
    <t xml:space="preserve">1900046016</t>
  </si>
  <si>
    <t xml:space="preserve">Statutory audit interim fee - Deloitte Hungary</t>
  </si>
  <si>
    <t xml:space="preserve">1900045980</t>
  </si>
  <si>
    <t xml:space="preserve">1900045994</t>
  </si>
  <si>
    <t xml:space="preserve">1900045978</t>
  </si>
  <si>
    <t xml:space="preserve">1900045975</t>
  </si>
  <si>
    <t xml:space="preserve">1900045965</t>
  </si>
  <si>
    <t xml:space="preserve">1900045973</t>
  </si>
  <si>
    <t xml:space="preserve">1900046002</t>
  </si>
  <si>
    <t xml:space="preserve">1900045970</t>
  </si>
  <si>
    <t xml:space="preserve">1900045972</t>
  </si>
  <si>
    <t xml:space="preserve">1900045957</t>
  </si>
  <si>
    <t xml:space="preserve">1900046011</t>
  </si>
  <si>
    <t xml:space="preserve">1900046010</t>
  </si>
  <si>
    <t xml:space="preserve">MES licence June - 4iG Nyrt.</t>
  </si>
  <si>
    <t xml:space="preserve">1900046008</t>
  </si>
  <si>
    <t xml:space="preserve">1900045987</t>
  </si>
  <si>
    <t xml:space="preserve">1900045948</t>
  </si>
  <si>
    <t xml:space="preserve">1900045956</t>
  </si>
  <si>
    <t xml:space="preserve">1900046022</t>
  </si>
  <si>
    <t xml:space="preserve">1900046086</t>
  </si>
  <si>
    <t xml:space="preserve">Mileage claim - Wizz Air</t>
  </si>
  <si>
    <t xml:space="preserve">1900046074</t>
  </si>
  <si>
    <t xml:space="preserve">1900046051</t>
  </si>
  <si>
    <t xml:space="preserve">1900046030</t>
  </si>
  <si>
    <t xml:space="preserve">1900046053</t>
  </si>
  <si>
    <t xml:space="preserve">1900046034</t>
  </si>
  <si>
    <t xml:space="preserve">1900046057</t>
  </si>
  <si>
    <t xml:space="preserve">1900046094</t>
  </si>
  <si>
    <t xml:space="preserve">1900046037</t>
  </si>
  <si>
    <t xml:space="preserve">1900046067</t>
  </si>
  <si>
    <t xml:space="preserve">1900046069</t>
  </si>
  <si>
    <t xml:space="preserve">1900046075</t>
  </si>
  <si>
    <t xml:space="preserve">1900046089</t>
  </si>
  <si>
    <t xml:space="preserve">1900046063</t>
  </si>
  <si>
    <t xml:space="preserve">1900046038</t>
  </si>
  <si>
    <t xml:space="preserve">1900046060</t>
  </si>
  <si>
    <t xml:space="preserve">1900046050</t>
  </si>
  <si>
    <t xml:space="preserve">1900046028</t>
  </si>
  <si>
    <t xml:space="preserve">1900046040</t>
  </si>
  <si>
    <t xml:space="preserve">1900046080</t>
  </si>
  <si>
    <t xml:space="preserve">Mobile fleet June - Magyar Telekom</t>
  </si>
  <si>
    <t xml:space="preserve">1900046084</t>
  </si>
  <si>
    <t xml:space="preserve">Statutory audit interim fee - KPMG Hungary</t>
  </si>
  <si>
    <t xml:space="preserve">1900046046</t>
  </si>
  <si>
    <t xml:space="preserve">1900046078</t>
  </si>
  <si>
    <t xml:space="preserve">1900046064</t>
  </si>
  <si>
    <t xml:space="preserve">1900046087</t>
  </si>
  <si>
    <t xml:space="preserve">Customer visit Stuttgart - Wizz Air</t>
  </si>
  <si>
    <t xml:space="preserve">1900046042</t>
  </si>
  <si>
    <t xml:space="preserve">1900046045</t>
  </si>
  <si>
    <t xml:space="preserve">1900046071</t>
  </si>
  <si>
    <t xml:space="preserve">1900046091</t>
  </si>
  <si>
    <t xml:space="preserve">1900046113</t>
  </si>
  <si>
    <t xml:space="preserve">1900046118</t>
  </si>
  <si>
    <t xml:space="preserve">1900046142</t>
  </si>
  <si>
    <t xml:space="preserve">1900046193</t>
  </si>
  <si>
    <t xml:space="preserve">1900046198</t>
  </si>
  <si>
    <t xml:space="preserve">Customer visit Wolfsburg - Wizz Air</t>
  </si>
  <si>
    <t xml:space="preserve">1900046162</t>
  </si>
  <si>
    <t xml:space="preserve">1900046164</t>
  </si>
  <si>
    <t xml:space="preserve">1900046145</t>
  </si>
  <si>
    <t xml:space="preserve">1900046130</t>
  </si>
  <si>
    <t xml:space="preserve">1900046181</t>
  </si>
  <si>
    <t xml:space="preserve">1900046209</t>
  </si>
  <si>
    <t xml:space="preserve">1900046195</t>
  </si>
  <si>
    <t xml:space="preserve">Legal advice - supply agreement - Oppenheim Ugyvedi Iroda</t>
  </si>
  <si>
    <t xml:space="preserve">1900046101</t>
  </si>
  <si>
    <t xml:space="preserve">1900046124</t>
  </si>
  <si>
    <t xml:space="preserve">1900046207</t>
  </si>
  <si>
    <t xml:space="preserve">550400</t>
  </si>
  <si>
    <t xml:space="preserve">1900046205</t>
  </si>
  <si>
    <t xml:space="preserve">Property &amp; liability premium instalment - Generali Biztosito</t>
  </si>
  <si>
    <t xml:space="preserve">1900046192</t>
  </si>
  <si>
    <t xml:space="preserve">Legal advice - supply agreement - KPMG Hungary</t>
  </si>
  <si>
    <t xml:space="preserve">1900046158</t>
  </si>
  <si>
    <t xml:space="preserve">1900046136</t>
  </si>
  <si>
    <t xml:space="preserve">1900046120</t>
  </si>
  <si>
    <t xml:space="preserve">1900046105</t>
  </si>
  <si>
    <t xml:space="preserve">1900046147</t>
  </si>
  <si>
    <t xml:space="preserve">Rent June 2026 - ISS Facility Services</t>
  </si>
  <si>
    <t xml:space="preserve">1900046114</t>
  </si>
  <si>
    <t xml:space="preserve">530210</t>
  </si>
  <si>
    <t xml:space="preserve">1900046150</t>
  </si>
  <si>
    <t xml:space="preserve">1900046176</t>
  </si>
  <si>
    <t xml:space="preserve">1900046138</t>
  </si>
  <si>
    <t xml:space="preserve">1900046128</t>
  </si>
  <si>
    <t xml:space="preserve">1900046183</t>
  </si>
  <si>
    <t xml:space="preserve">1900046179</t>
  </si>
  <si>
    <t xml:space="preserve">Transfer pricing documentation 2025 - KPMG Hungary</t>
  </si>
  <si>
    <t xml:space="preserve">1900046115</t>
  </si>
  <si>
    <t xml:space="preserve">1900046172</t>
  </si>
  <si>
    <t xml:space="preserve">1900046173</t>
  </si>
  <si>
    <t xml:space="preserve">1900046107</t>
  </si>
  <si>
    <t xml:space="preserve">1900046194</t>
  </si>
  <si>
    <t xml:space="preserve">1900046154</t>
  </si>
  <si>
    <t xml:space="preserve">1900046153</t>
  </si>
  <si>
    <t xml:space="preserve">Mobile fleet June - 4iG Nyrt.</t>
  </si>
  <si>
    <t xml:space="preserve">1900046191</t>
  </si>
  <si>
    <t xml:space="preserve">Legal advice - supply agreement - Deloitte Hungary</t>
  </si>
  <si>
    <t xml:space="preserve">1900046187</t>
  </si>
  <si>
    <t xml:space="preserve">1900046170</t>
  </si>
  <si>
    <t xml:space="preserve">1900046167</t>
  </si>
  <si>
    <t xml:space="preserve">Statutory audit interim fee - Oppenheim Ugyvedi Iroda</t>
  </si>
  <si>
    <t xml:space="preserve">1900046133</t>
  </si>
  <si>
    <t xml:space="preserve">1900046196</t>
  </si>
  <si>
    <t xml:space="preserve">1900046202</t>
  </si>
  <si>
    <t xml:space="preserve">1900046097</t>
  </si>
  <si>
    <t xml:space="preserve">1900046110</t>
  </si>
  <si>
    <t xml:space="preserve">1900046214</t>
  </si>
  <si>
    <t xml:space="preserve">NO BUDGET</t>
  </si>
  <si>
    <t xml:space="preserve">1900046218</t>
  </si>
  <si>
    <t xml:space="preserve">1900046225</t>
  </si>
  <si>
    <t xml:space="preserve">1900046210</t>
  </si>
  <si>
    <t xml:space="preserve">1900046250</t>
  </si>
  <si>
    <t xml:space="preserve">1900046227</t>
  </si>
  <si>
    <t xml:space="preserve">1900046232</t>
  </si>
  <si>
    <t xml:space="preserve">1900046228</t>
  </si>
  <si>
    <t xml:space="preserve">1900046248</t>
  </si>
  <si>
    <t xml:space="preserve">1900046235</t>
  </si>
  <si>
    <t xml:space="preserve">1900046242</t>
  </si>
  <si>
    <t xml:space="preserve">1900046221</t>
  </si>
  <si>
    <t xml:space="preserve">1900046245</t>
  </si>
  <si>
    <t xml:space="preserve">1900046238</t>
  </si>
  <si>
    <t xml:space="preserve">Job advert - CNC setter - Lean Institute HU</t>
  </si>
  <si>
    <t xml:space="preserve">1900046212</t>
  </si>
  <si>
    <t xml:space="preserve">1900046251</t>
  </si>
  <si>
    <t xml:space="preserve">Total staged</t>
  </si>
  <si>
    <t xml:space="preserve">BUDGET, UNPIVOTED BY THE MACRO</t>
  </si>
  <si>
    <t xml:space="preserve">The planning file arrives with cost centres across the columns. modImport.ImportBudget reads that block and returns it one row per cost centre and reporting line, which is the only shape a SUMIFS can use.</t>
  </si>
  <si>
    <t xml:space="preserve">Budget EUR</t>
  </si>
  <si>
    <t xml:space="preserve">Note</t>
  </si>
  <si>
    <t xml:space="preserve">Total budget as issued</t>
  </si>
  <si>
    <t xml:space="preserve">Cost centre 6120 HR &amp; training was created after the budget was issued and has no rows here. The tool flags its spend as NO BUDGET rather than reporting it as an overspend.</t>
  </si>
  <si>
    <t xml:space="preserve">MAPPING - THE ONLY TABLE A FINANCE USER MAINTAINS</t>
  </si>
  <si>
    <t xml:space="preserve">Account to reporting line, and the cost centre master. Both are read at run time. Adding an account here is the whole of the maintenance: no code change, no developer.</t>
  </si>
  <si>
    <t xml:space="preserve">ACCOUNT TO REPORTING LINE</t>
  </si>
  <si>
    <t xml:space="preserve">COST CENTRE MASTER</t>
  </si>
  <si>
    <t xml:space="preserve">Account name</t>
  </si>
  <si>
    <t xml:space="preserve">Lines this period</t>
  </si>
  <si>
    <t xml:space="preserve">Code</t>
  </si>
  <si>
    <t xml:space="preserve">Function</t>
  </si>
  <si>
    <t xml:space="preserve">Budget?</t>
  </si>
  <si>
    <t xml:space="preserve">Consumables</t>
  </si>
  <si>
    <t xml:space="preserve">Machining - Cell A</t>
  </si>
  <si>
    <t xml:space="preserve">G. Nagy</t>
  </si>
  <si>
    <t xml:space="preserve">Production</t>
  </si>
  <si>
    <t xml:space="preserve">Cutting tools &amp; inserts</t>
  </si>
  <si>
    <t xml:space="preserve">Machining - Cell B</t>
  </si>
  <si>
    <t xml:space="preserve">Electricity</t>
  </si>
  <si>
    <t xml:space="preserve">Turning &amp; milling</t>
  </si>
  <si>
    <t xml:space="preserve">P. Kovacs</t>
  </si>
  <si>
    <t xml:space="preserve">Gas</t>
  </si>
  <si>
    <t xml:space="preserve">Deburring &amp; finishing</t>
  </si>
  <si>
    <t xml:space="preserve">Wages - direct</t>
  </si>
  <si>
    <t xml:space="preserve">Quality assurance</t>
  </si>
  <si>
    <t xml:space="preserve">E. Szabo</t>
  </si>
  <si>
    <t xml:space="preserve">Quality</t>
  </si>
  <si>
    <t xml:space="preserve">Salaries</t>
  </si>
  <si>
    <t xml:space="preserve">Maintenance</t>
  </si>
  <si>
    <t xml:space="preserve">L. Toth</t>
  </si>
  <si>
    <t xml:space="preserve">Production support</t>
  </si>
  <si>
    <t xml:space="preserve">Shift premium</t>
  </si>
  <si>
    <t xml:space="preserve">Logistics &amp; warehouse</t>
  </si>
  <si>
    <t xml:space="preserve">M. Varga</t>
  </si>
  <si>
    <t xml:space="preserve">Supply chain</t>
  </si>
  <si>
    <t xml:space="preserve">Overtime</t>
  </si>
  <si>
    <t xml:space="preserve">Production planning</t>
  </si>
  <si>
    <t xml:space="preserve">Engineering</t>
  </si>
  <si>
    <t xml:space="preserve">A. Balogh</t>
  </si>
  <si>
    <t xml:space="preserve">Technical</t>
  </si>
  <si>
    <t xml:space="preserve">Other employment taxes</t>
  </si>
  <si>
    <t xml:space="preserve">Sales &amp; key accounts</t>
  </si>
  <si>
    <t xml:space="preserve">R. Farkas</t>
  </si>
  <si>
    <t xml:space="preserve">Commercial</t>
  </si>
  <si>
    <t xml:space="preserve">Agency labour</t>
  </si>
  <si>
    <t xml:space="preserve">Finance &amp; administration</t>
  </si>
  <si>
    <t xml:space="preserve">T. Charkasov</t>
  </si>
  <si>
    <t xml:space="preserve">Support</t>
  </si>
  <si>
    <t xml:space="preserve">Training</t>
  </si>
  <si>
    <t xml:space="preserve">HR &amp; training</t>
  </si>
  <si>
    <t xml:space="preserve">K. Molnar</t>
  </si>
  <si>
    <t xml:space="preserve">Recruitment</t>
  </si>
  <si>
    <t xml:space="preserve">Repairs</t>
  </si>
  <si>
    <t xml:space="preserve">Spare parts</t>
  </si>
  <si>
    <t xml:space="preserve">Service contracts</t>
  </si>
  <si>
    <t xml:space="preserve">Rent &amp; service charge</t>
  </si>
  <si>
    <t xml:space="preserve">Cleaning &amp; security</t>
  </si>
  <si>
    <t xml:space="preserve">Freight out</t>
  </si>
  <si>
    <t xml:space="preserve">Packaging</t>
  </si>
  <si>
    <t xml:space="preserve">IT services</t>
  </si>
  <si>
    <t xml:space="preserve">Software licences</t>
  </si>
  <si>
    <t xml:space="preserve">Telecom</t>
  </si>
  <si>
    <t xml:space="preserve">Audit &amp; advisory</t>
  </si>
  <si>
    <t xml:space="preserve">Legal</t>
  </si>
  <si>
    <t xml:space="preserve">Travel</t>
  </si>
  <si>
    <t xml:space="preserve">Hospitality</t>
  </si>
  <si>
    <t xml:space="preserve">Insurance premiums</t>
  </si>
  <si>
    <t xml:space="preserve">Depreciation - plant &amp; machinery</t>
  </si>
  <si>
    <t xml:space="preserve">Depreciation - IT &amp; other</t>
  </si>
  <si>
    <t xml:space="preserve">Accounts mapped</t>
  </si>
  <si>
    <t xml:space="preserve">AUDIT TRAIL - ONE ROW PER RUN, APPENDED, NEVER OVERWRITTEN</t>
  </si>
  <si>
    <t xml:space="preserve">Written by modLog.LogRun. The control totals are the point of it: a month can be reopened a year later and the reader can see what came in, what went out, and whether the two agreed.</t>
  </si>
  <si>
    <t xml:space="preserve">Run timestamp</t>
  </si>
  <si>
    <t xml:space="preserve">User</t>
  </si>
  <si>
    <t xml:space="preserve">Rows read</t>
  </si>
  <si>
    <t xml:space="preserve">Rows staged</t>
  </si>
  <si>
    <t xml:space="preserve">Rows rejected</t>
  </si>
  <si>
    <t xml:space="preserve">Control total in</t>
  </si>
  <si>
    <t xml:space="preserve">Control total out</t>
  </si>
  <si>
    <t xml:space="preserve">Difference</t>
  </si>
  <si>
    <t xml:space="preserve">Packs</t>
  </si>
  <si>
    <t xml:space="preserve">Secs</t>
  </si>
  <si>
    <t xml:space="preserve">TCHARKASOV</t>
  </si>
  <si>
    <t xml:space="preserve">2026-05</t>
  </si>
  <si>
    <t xml:space="preserve">-</t>
  </si>
  <si>
    <t xml:space="preserve">May close, 12 packs written.</t>
  </si>
  <si>
    <t xml:space="preserve">FAILED</t>
  </si>
  <si>
    <t xml:space="preserve">Wrong file selected: header row containing 'G/L Acct' not found. Nothing was issued.</t>
  </si>
  <si>
    <t xml:space="preserve">OK (validate)</t>
  </si>
  <si>
    <t xml:space="preserve">Validation run. 24 lines flagged, 3 unmapped.</t>
  </si>
  <si>
    <t xml:space="preserve">Re-run after 639500 raised with the GL team. Still unmapped, left as UNMAPPED by agreement.</t>
  </si>
  <si>
    <t xml:space="preserve">Full cycle, 12 packs written to \\hm-fs01\finance\CC packs\2026-06.</t>
  </si>
  <si>
    <t xml:space="preserve">The control total in is the figure read from the export. The control total out on the most recent run is a live sum of the staging table, so the difference on that row is calculated, not recorded.</t>
  </si>
  <si>
    <t xml:space="preserve">VBA SOURCE - ALL SIX MODULES</t>
  </si>
  <si>
    <t xml:space="preserve">811 lines. The same source ships alongside this workbook as a .bas file. Option Explicit throughout, no Select or Activate in the working code, arrays rather than cell by cell loops, and one central error handler that always restores the application state.</t>
  </si>
  <si>
    <t xml:space="preserve">'===============================================================================</t>
  </si>
  <si>
    <t xml:space="preserve">'  HALCYON METALWORKS KFT.   MONTHLY COST CENTRE REPORTING TOOL</t>
  </si>
  <si>
    <t xml:space="preserve">'  VBA source, all modules.  Version 2.4, 12-Jul-2026</t>
  </si>
  <si>
    <t xml:space="preserve">'  Tarlan Charkasov, ACCA</t>
  </si>
  <si>
    <t xml:space="preserve">'</t>
  </si>
  <si>
    <t xml:space="preserve">'  INSTALLATION</t>
  </si>
  <si>
    <t xml:space="preserve">'  Open the workbook, press Alt+F11, and create six standard modules named</t>
  </si>
  <si>
    <t xml:space="preserve">'  modMain, modImport, modTransform, modOutput, modLog and modUtils. Paste each</t>
  </si>
  <si>
    <t xml:space="preserve">'  section below into the module of that name. No library references are needed:</t>
  </si>
  <si>
    <t xml:space="preserve">'  the dictionary is created late bound so the file opens on any machine.</t>
  </si>
  <si>
    <t xml:space="preserve">'  DESIGN NOTES</t>
  </si>
  <si>
    <t xml:space="preserve">'  1.  The macro imports, cleans and validates. It does not calculate the report.</t>
  </si>
  <si>
    <t xml:space="preserve">'      The reporting logic stays in visible worksheet formulas so a reviewer can</t>
  </si>
  <si>
    <t xml:space="preserve">'      audit it without opening the VBA editor, and so a finance user can change</t>
  </si>
  <si>
    <t xml:space="preserve">'      a subtotal without asking a developer.</t>
  </si>
  <si>
    <t xml:space="preserve">'  2.  Nothing a user might reasonably change is hardcoded. Period, file paths</t>
  </si>
  <si>
    <t xml:space="preserve">'      and switches live on the Control Panel; account mapping lives on Mapping.</t>
  </si>
  <si>
    <t xml:space="preserve">'  3.  Every run writes an audit trail row with control totals in and out. A run</t>
  </si>
  <si>
    <t xml:space="preserve">'      that does not tie is reported as FAILED, not as a warning.</t>
  </si>
  <si>
    <t xml:space="preserve">'  4.  Data moves in arrays, not cell by cell. 8,400 source lines stage in about</t>
  </si>
  <si>
    <t xml:space="preserve">'      three seconds; the same loop written against ranges takes over four minutes.</t>
  </si>
  <si>
    <t xml:space="preserve">'==== Module: modMain ==========================================================</t>
  </si>
  <si>
    <t xml:space="preserve">Option Explicit</t>
  </si>
  <si>
    <t xml:space="preserve">Public Const APP_NAME As String = "Halcyon Cost Centre Reporting Tool"</t>
  </si>
  <si>
    <t xml:space="preserve">Public Const APP_VER As String = "2.4"</t>
  </si>
  <si>
    <t xml:space="preserve">' Sheet names, single point of change if the workbook is ever restructured</t>
  </si>
  <si>
    <t xml:space="preserve">Public Const SH_PANEL As String = "Control Panel"</t>
  </si>
  <si>
    <t xml:space="preserve">Public Const SH_STAGE As String = "Staging"</t>
  </si>
  <si>
    <t xml:space="preserve">Public Const SH_BUD As String = "Budget"</t>
  </si>
  <si>
    <t xml:space="preserve">Public Const SH_MAP As String = "Mapping"</t>
  </si>
  <si>
    <t xml:space="preserve">Public Const SH_EXC As String = "Exceptions"</t>
  </si>
  <si>
    <t xml:space="preserve">Public Const SH_LOG As String = "Audit Trail"</t>
  </si>
  <si>
    <t xml:space="preserve">Public Const SH_PACK As String = "Cost Centre Pack"</t>
  </si>
  <si>
    <t xml:space="preserve">Public Const SH_REP As String = "Report"</t>
  </si>
  <si>
    <t xml:space="preserve">' Control Panel cells</t>
  </si>
  <si>
    <t xml:space="preserve">Public Const CP_PERIOD As String = "E9"</t>
  </si>
  <si>
    <t xml:space="preserve">Public Const CP_GLPATH As String = "E11"</t>
  </si>
  <si>
    <t xml:space="preserve">Public Const CP_BUDPATH As String = "E12"</t>
  </si>
  <si>
    <t xml:space="preserve">Public Const CP_OUTPATH As String = "E13"</t>
  </si>
  <si>
    <t xml:space="preserve">Public Const CP_BURST As String = "E15"</t>
  </si>
  <si>
    <t xml:space="preserve">Public Const CP_TOL As String = "E16"</t>
  </si>
  <si>
    <t xml:space="preserve">Public Const CP_STATUS As String = "B23"</t>
  </si>
  <si>
    <t xml:space="preserve">Private mStart As Single</t>
  </si>
  <si>
    <t xml:space="preserve">Private mRunId As String</t>
  </si>
  <si>
    <t xml:space="preserve">'-------------------------------------------------------------------------------</t>
  </si>
  <si>
    <t xml:space="preserve">' RunFullCycle: the one button most users ever press. Import, validate, stage,</t>
  </si>
  <si>
    <t xml:space="preserve">' refresh, and burst the cost centre packs if the Control Panel says so.</t>
  </si>
  <si>
    <t xml:space="preserve">Public Sub RunFullCycle()</t>
  </si>
  <si>
    <t xml:space="preserve">    Dim glRaw As Variant, budRaw As Variant, staged As Variant</t>
  </si>
  <si>
    <t xml:space="preserve">    Dim rowsRead As Long, rowsStaged As Long, rowsRejected As Long</t>
  </si>
  <si>
    <t xml:space="preserve">    Dim rowsBudget As Long, ctrlIn As Double, ctrlOut As Double</t>
  </si>
  <si>
    <t xml:space="preserve">    Dim packCount As Long</t>
  </si>
  <si>
    <t xml:space="preserve">    On Error GoTo Fail</t>
  </si>
  <si>
    <t xml:space="preserve">    BeginRun "Full cycle"</t>
  </si>
  <si>
    <t xml:space="preserve">    Status "Reading the general ledger export..."</t>
  </si>
  <si>
    <t xml:space="preserve">    glRaw = ImportGLExport(PanelValue(CP_GLPATH), rowsRead, ctrlIn)</t>
  </si>
  <si>
    <t xml:space="preserve">    Status "Reading the budget file..."</t>
  </si>
  <si>
    <t xml:space="preserve">    budRaw = ImportBudget(PanelValue(CP_BUDPATH), rowsBudget)</t>
  </si>
  <si>
    <t xml:space="preserve">    Status "Mapping accounts and building the staging table..."</t>
  </si>
  <si>
    <t xml:space="preserve">    staged = BuildStaging(glRaw, budRaw, rowsStaged, rowsRejected, ctrlOut)</t>
  </si>
  <si>
    <t xml:space="preserve">    Status "Writing " &amp; Format$(rowsStaged, "#,##0") &amp; " staged lines..."</t>
  </si>
  <si>
    <t xml:space="preserve">    WriteStaging staged, rowsStaged</t>
  </si>
  <si>
    <t xml:space="preserve">    WriteBudget budRaw, rowsBudget</t>
  </si>
  <si>
    <t xml:space="preserve">    Status "Refreshing exceptions..."</t>
  </si>
  <si>
    <t xml:space="preserve">    RefreshExceptions</t>
  </si>
  <si>
    <t xml:space="preserve">    ' Control total test. A difference here means a line was lost or double</t>
  </si>
  <si>
    <t xml:space="preserve">    ' counted between the source file and the staging table, so the run fails.</t>
  </si>
  <si>
    <t xml:space="preserve">    If Abs(ctrlIn - ctrlOut) &gt; PanelValue(CP_TOL) Then</t>
  </si>
  <si>
    <t xml:space="preserve">        Err.Raise vbObjectError + 513, "RunFullCycle", _</t>
  </si>
  <si>
    <t xml:space="preserve">            "Control totals do not agree. Source " &amp; Format$(ctrlIn, "#,##0.00") &amp; _</t>
  </si>
  <si>
    <t xml:space="preserve">            " against staged " &amp; Format$(ctrlOut, "#,##0.00") &amp; _</t>
  </si>
  <si>
    <t xml:space="preserve">            ". Nothing has been issued."</t>
  </si>
  <si>
    <t xml:space="preserve">    End If</t>
  </si>
  <si>
    <t xml:space="preserve">    If UCase$(CStr(PanelValue(CP_BURST))) = "YES" Then</t>
  </si>
  <si>
    <t xml:space="preserve">        Status "Bursting cost centre packs..."</t>
  </si>
  <si>
    <t xml:space="preserve">        packCount = BurstCostCentrePacks()</t>
  </si>
  <si>
    <t xml:space="preserve">    EndRun "OK", rowsRead, rowsStaged, rowsRejected, ctrlIn, ctrlOut, packCount, vbNullString</t>
  </si>
  <si>
    <t xml:space="preserve">    Status "Done. " &amp; Format$(rowsStaged, "#,##0") &amp; " lines staged, " &amp; _</t>
  </si>
  <si>
    <t xml:space="preserve">           packCount &amp; " packs written, control totals agreed."</t>
  </si>
  <si>
    <t xml:space="preserve">    Exit Sub</t>
  </si>
  <si>
    <t xml:space="preserve">Fail:</t>
  </si>
  <si>
    <t xml:space="preserve">    EndRun "FAILED", rowsRead, rowsStaged, rowsRejected, ctrlIn, ctrlOut, 0, _</t>
  </si>
  <si>
    <t xml:space="preserve">           Err.Number &amp; " " &amp; Err.Description</t>
  </si>
  <si>
    <t xml:space="preserve">    Status "FAILED: " &amp; Err.Description</t>
  </si>
  <si>
    <t xml:space="preserve">    MsgBox "The run stopped and nothing was issued." &amp; vbCrLf &amp; vbCrLf &amp; _</t>
  </si>
  <si>
    <t xml:space="preserve">           Err.Description, vbCritical, APP_NAME</t>
  </si>
  <si>
    <t xml:space="preserve">End Sub</t>
  </si>
  <si>
    <t xml:space="preserve">' ValidateOnly: same import and mapping, no output. Used before the close is</t>
  </si>
  <si>
    <t xml:space="preserve">' final, to see what will break while there is still time to fix it.</t>
  </si>
  <si>
    <t xml:space="preserve">Public Sub ValidateOnly()</t>
  </si>
  <si>
    <t xml:space="preserve">    BeginRun "Validate only"</t>
  </si>
  <si>
    <t xml:space="preserve">    EndRun "OK (validate)", rowsRead, rowsStaged, rowsRejected, ctrlIn, ctrlOut, 0, vbNullString</t>
  </si>
  <si>
    <t xml:space="preserve">    Status "Validation complete. " &amp; rowsRejected &amp; " lines rejected, see the Exceptions sheet."</t>
  </si>
  <si>
    <t xml:space="preserve">    MsgBox Err.Description, vbCritical, APP_NAME</t>
  </si>
  <si>
    <t xml:space="preserve">' ClearOutputs: empties staging and the exception detail so the workbook can be</t>
  </si>
  <si>
    <t xml:space="preserve">' circulated or archived without last month's data in it.</t>
  </si>
  <si>
    <t xml:space="preserve">Public Sub ClearOutputs()</t>
  </si>
  <si>
    <t xml:space="preserve">    If MsgBox("Clear the staging and budget tables?", _</t>
  </si>
  <si>
    <t xml:space="preserve">              vbQuestion + vbYesNo, APP_NAME) &lt;&gt; vbYes Then Exit Sub</t>
  </si>
  <si>
    <t xml:space="preserve">    FastMode True</t>
  </si>
  <si>
    <t xml:space="preserve">    ClearBelowHeader Sheets(SH_STAGE), 4</t>
  </si>
  <si>
    <t xml:space="preserve">    ClearBelowHeader Sheets(SH_BUD), 4</t>
  </si>
  <si>
    <t xml:space="preserve">    FastMode False</t>
  </si>
  <si>
    <t xml:space="preserve">    Status "Outputs cleared at " &amp; Ts()</t>
  </si>
  <si>
    <t xml:space="preserve">' Run housekeeping. Kept in one place so no routine can forget to restore the</t>
  </si>
  <si>
    <t xml:space="preserve">' application state after an error.</t>
  </si>
  <si>
    <t xml:space="preserve">Private Sub BeginRun(ByVal runType As String)</t>
  </si>
  <si>
    <t xml:space="preserve">    mStart = Timer</t>
  </si>
  <si>
    <t xml:space="preserve">    mRunId = Format$(Now, "yyyymmdd-hhnnss")</t>
  </si>
  <si>
    <t xml:space="preserve">    Status runType &amp; " started at " &amp; Ts()</t>
  </si>
  <si>
    <t xml:space="preserve">Private Sub EndRun(ByVal result As String, ByVal rowsRead As Long, _</t>
  </si>
  <si>
    <t xml:space="preserve">                   ByVal rowsStaged As Long, ByVal rowsRejected As Long, _</t>
  </si>
  <si>
    <t xml:space="preserve">                   ByVal ctrlIn As Double, ByVal ctrlOut As Double, _</t>
  </si>
  <si>
    <t xml:space="preserve">                   ByVal packCount As Long, ByVal note As String)</t>
  </si>
  <si>
    <t xml:space="preserve">    LogRun mRunId, result, rowsRead, rowsStaged, rowsRejected, _</t>
  </si>
  <si>
    <t xml:space="preserve">           ctrlIn, ctrlOut, packCount, Round(Timer - mStart, 1), note</t>
  </si>
  <si>
    <t xml:space="preserve">Public Function PanelValue(ByVal cellRef As String) As Variant</t>
  </si>
  <si>
    <t xml:space="preserve">    PanelValue = Sheets(SH_PANEL).Range(cellRef).Value</t>
  </si>
  <si>
    <t xml:space="preserve">End Function</t>
  </si>
  <si>
    <t xml:space="preserve">Public Sub Status(ByVal msg As String)</t>
  </si>
  <si>
    <t xml:space="preserve">    With Sheets(SH_PANEL).Range(CP_STATUS)</t>
  </si>
  <si>
    <t xml:space="preserve">        .Value = Ts() &amp; "   " &amp; msg</t>
  </si>
  <si>
    <t xml:space="preserve">    End With</t>
  </si>
  <si>
    <t xml:space="preserve">    Application.StatusBar = APP_NAME &amp; ": " &amp; msg</t>
  </si>
  <si>
    <t xml:space="preserve">    DoEvents</t>
  </si>
  <si>
    <t xml:space="preserve">'==== Module: modImport ========================================================</t>
  </si>
  <si>
    <t xml:space="preserve">' ImportGLExport: opens the SAP extract read only, finds the header row rather</t>
  </si>
  <si>
    <t xml:space="preserve">' than assuming it, reads the used range into an array and closes the file.</t>
  </si>
  <si>
    <t xml:space="preserve">' The export changes shape whenever someone re-runs it with different columns,</t>
  </si>
  <si>
    <t xml:space="preserve">' so columns are located by name, never by position.</t>
  </si>
  <si>
    <t xml:space="preserve">Public Function ImportGLExport(ByVal filePath As String, ByRef rowsRead As Long, _</t>
  </si>
  <si>
    <t xml:space="preserve">                               ByRef controlTotal As Double) As Variant</t>
  </si>
  <si>
    <t xml:space="preserve">    Dim wb As Workbook, ws As Worksheet</t>
  </si>
  <si>
    <t xml:space="preserve">    Dim hdrRow As Long, lastRow As Long, lastCol As Long</t>
  </si>
  <si>
    <t xml:space="preserve">    Dim data As Variant, out() As Variant</t>
  </si>
  <si>
    <t xml:space="preserve">    Dim cCC As Long, cAcct As Long, cDate As Long, cDoc As Long</t>
  </si>
  <si>
    <t xml:space="preserve">    Dim cText As Long, cAmt As Long</t>
  </si>
  <si>
    <t xml:space="preserve">    Dim r As Long, n As Long</t>
  </si>
  <si>
    <t xml:space="preserve">    Dim amt As Double, sTxt As String</t>
  </si>
  <si>
    <t xml:space="preserve">    If Len(Dir$(filePath)) = 0 Then</t>
  </si>
  <si>
    <t xml:space="preserve">        Err.Raise vbObjectError + 501, "ImportGLExport", _</t>
  </si>
  <si>
    <t xml:space="preserve">            "The general ledger export was not found at:" &amp; vbCrLf &amp; filePath</t>
  </si>
  <si>
    <t xml:space="preserve">    Set wb = Workbooks.Open(fileName:=filePath, ReadOnly:=True, UpdateLinks:=0)</t>
  </si>
  <si>
    <t xml:space="preserve">    On Error GoTo CleanFail</t>
  </si>
  <si>
    <t xml:space="preserve">    Set ws = wb.Worksheets(1)</t>
  </si>
  <si>
    <t xml:space="preserve">    hdrRow = FindHeaderRow(ws, "G/L Acct")</t>
  </si>
  <si>
    <t xml:space="preserve">    If hdrRow = 0 Then</t>
  </si>
  <si>
    <t xml:space="preserve">        Err.Raise vbObjectError + 502, "ImportGLExport", _</t>
  </si>
  <si>
    <t xml:space="preserve">            "No header row containing 'G/L Acct' was found in the export. " &amp; _</t>
  </si>
  <si>
    <t xml:space="preserve">            "The extract layout has changed, or the wrong file was selected."</t>
  </si>
  <si>
    <t xml:space="preserve">    lastRow = ws.Cells(ws.Rows.Count, 1).End(xlUp).Row</t>
  </si>
  <si>
    <t xml:space="preserve">    lastCol = ws.Cells(hdrRow, ws.Columns.Count).End(xlToLeft).Column</t>
  </si>
  <si>
    <t xml:space="preserve">    data = ws.Range(ws.Cells(hdrRow, 1), ws.Cells(lastRow, lastCol)).Value</t>
  </si>
  <si>
    <t xml:space="preserve">    cCC = ColumnOf(data, "Cost Ctr")</t>
  </si>
  <si>
    <t xml:space="preserve">    cAcct = ColumnOf(data, "G/L Acct")</t>
  </si>
  <si>
    <t xml:space="preserve">    cDate = ColumnOf(data, "Doc. Date")</t>
  </si>
  <si>
    <t xml:space="preserve">    cDoc = ColumnOf(data, "Doc. No.")</t>
  </si>
  <si>
    <t xml:space="preserve">    cText = ColumnOf(data, "Text")</t>
  </si>
  <si>
    <t xml:space="preserve">    cAmt = ColumnOf(data, "Amount in LC")</t>
  </si>
  <si>
    <t xml:space="preserve">    If cCC * cAcct * cAmt = 0 Then</t>
  </si>
  <si>
    <t xml:space="preserve">        Err.Raise vbObjectError + 503, "ImportGLExport", _</t>
  </si>
  <si>
    <t xml:space="preserve">            "One of the required columns (Cost Ctr, G/L Acct, Amount in LC) " &amp; _</t>
  </si>
  <si>
    <t xml:space="preserve">            "is missing from the export."</t>
  </si>
  <si>
    <t xml:space="preserve">    ReDim out(1 To UBound(data, 1), 1 To 6)</t>
  </si>
  <si>
    <t xml:space="preserve">    n = 0</t>
  </si>
  <si>
    <t xml:space="preserve">    controlTotal = 0</t>
  </si>
  <si>
    <t xml:space="preserve">    For r = 2 To UBound(data, 1)</t>
  </si>
  <si>
    <t xml:space="preserve">        sTxt = Trim$(CStr(data(r, cAcct) &amp; ""))</t>
  </si>
  <si>
    <t xml:space="preserve">        ' Skip the blank rows, the page furniture and the "* Cost Ctr" subtotals</t>
  </si>
  <si>
    <t xml:space="preserve">        ' that SAP writes into the middle of the extract.</t>
  </si>
  <si>
    <t xml:space="preserve">        If Len(sTxt) &gt; 0 And Left$(sTxt, 1) &lt;&gt; "*" And Not IsSubtotal(data, r, cText) Then</t>
  </si>
  <si>
    <t xml:space="preserve">            amt = ParseSapAmount(data(r, cAmt))</t>
  </si>
  <si>
    <t xml:space="preserve">            n = n + 1</t>
  </si>
  <si>
    <t xml:space="preserve">            out(n, 1) = CleanCode(data(r, cCC))</t>
  </si>
  <si>
    <t xml:space="preserve">            out(n, 2) = CleanCode(data(r, cAcct))</t>
  </si>
  <si>
    <t xml:space="preserve">            out(n, 3) = SafeDate(data(r, cDate))</t>
  </si>
  <si>
    <t xml:space="preserve">            out(n, 4) = Trim$(CStr(data(r, cDoc) &amp; ""))</t>
  </si>
  <si>
    <t xml:space="preserve">            out(n, 5) = Trim$(CStr(data(r, cText) &amp; ""))</t>
  </si>
  <si>
    <t xml:space="preserve">            out(n, 6) = amt</t>
  </si>
  <si>
    <t xml:space="preserve">            controlTotal = controlTotal + amt</t>
  </si>
  <si>
    <t xml:space="preserve">        End If</t>
  </si>
  <si>
    <t xml:space="preserve">    Next r</t>
  </si>
  <si>
    <t xml:space="preserve">    rowsRead = n</t>
  </si>
  <si>
    <t xml:space="preserve">    wb.Close SaveChanges:=False</t>
  </si>
  <si>
    <t xml:space="preserve">    Set wb = Nothing</t>
  </si>
  <si>
    <t xml:space="preserve">    If n = 0 Then</t>
  </si>
  <si>
    <t xml:space="preserve">        Err.Raise vbObjectError + 504, "ImportGLExport", _</t>
  </si>
  <si>
    <t xml:space="preserve">            "The export contains no postable lines. Check the period selection."</t>
  </si>
  <si>
    <t xml:space="preserve">    ImportGLExport = out</t>
  </si>
  <si>
    <t xml:space="preserve">    Exit Function</t>
  </si>
  <si>
    <t xml:space="preserve">CleanFail:</t>
  </si>
  <si>
    <t xml:space="preserve">    If Not wb Is Nothing Then wb.Close SaveChanges:=False</t>
  </si>
  <si>
    <t xml:space="preserve">    Err.Raise Err.Number, "ImportGLExport", Err.Description</t>
  </si>
  <si>
    <t xml:space="preserve">' ImportBudget: the planning team issues the budget with cost centres across the</t>
  </si>
  <si>
    <t xml:space="preserve">' columns. This reads that block and returns it long format, one row per cost</t>
  </si>
  <si>
    <t xml:space="preserve">' centre and reporting line, which is the only shape a SUMIFS can use.</t>
  </si>
  <si>
    <t xml:space="preserve">Public Function ImportBudget(ByVal filePath As String, ByRef rowsBudget As Long) As Variant</t>
  </si>
  <si>
    <t xml:space="preserve">    Dim hdrRow As Long, firstRow As Long, lastRow As Long, lastCol As Long</t>
  </si>
  <si>
    <t xml:space="preserve">    Dim r As Long, c As Long, n As Long</t>
  </si>
  <si>
    <t xml:space="preserve">    Dim cc As String, line As String</t>
  </si>
  <si>
    <t xml:space="preserve">        Err.Raise vbObjectError + 505, "ImportBudget", _</t>
  </si>
  <si>
    <t xml:space="preserve">            "The budget file was not found at:" &amp; vbCrLf &amp; filePath</t>
  </si>
  <si>
    <t xml:space="preserve">    hdrRow = FindHeaderRow(ws, "Reporting line")</t>
  </si>
  <si>
    <t xml:space="preserve">        Err.Raise vbObjectError + 506, "ImportBudget", _</t>
  </si>
  <si>
    <t xml:space="preserve">            "No 'Reporting line' header found in the budget file."</t>
  </si>
  <si>
    <t xml:space="preserve">    ReDim out(1 To (UBound(data, 1) * UBound(data, 2)), 1 To 3)</t>
  </si>
  <si>
    <t xml:space="preserve">    For c = 2 To UBound(data, 2)</t>
  </si>
  <si>
    <t xml:space="preserve">        cc = CleanCode(data(1, c))</t>
  </si>
  <si>
    <t xml:space="preserve">        ' The planning file carries a Total column. It is a check figure, not a</t>
  </si>
  <si>
    <t xml:space="preserve">        ' cost centre, and adding it would double the budget.</t>
  </si>
  <si>
    <t xml:space="preserve">        If Len(cc) &gt; 0 And UCase$(cc) &lt;&gt; "TOTAL" Then</t>
  </si>
  <si>
    <t xml:space="preserve">            For r = 2 To UBound(data, 1)</t>
  </si>
  <si>
    <t xml:space="preserve">                line = Trim$(CStr(data(r, 1) &amp; ""))</t>
  </si>
  <si>
    <t xml:space="preserve">                If Len(line) &gt; 0 And UCase$(line) &lt;&gt; "TOTAL" Then</t>
  </si>
  <si>
    <t xml:space="preserve">                    n = n + 1</t>
  </si>
  <si>
    <t xml:space="preserve">                    out(n, 1) = cc</t>
  </si>
  <si>
    <t xml:space="preserve">                    out(n, 2) = line</t>
  </si>
  <si>
    <t xml:space="preserve">                    out(n, 3) = SafeDouble(data(r, c))</t>
  </si>
  <si>
    <t xml:space="preserve">                End If</t>
  </si>
  <si>
    <t xml:space="preserve">            Next r</t>
  </si>
  <si>
    <t xml:space="preserve">    Next c</t>
  </si>
  <si>
    <t xml:space="preserve">    rowsBudget = n</t>
  </si>
  <si>
    <t xml:space="preserve">    ImportBudget = out</t>
  </si>
  <si>
    <t xml:space="preserve">    Err.Raise Err.Number, "ImportBudget", Err.Description</t>
  </si>
  <si>
    <t xml:space="preserve">' FindHeaderRow: scans the first 30 rows for a cell containing the token. SAP</t>
  </si>
  <si>
    <t xml:space="preserve">' writes a variable block of report furniture above the header, so the header is</t>
  </si>
  <si>
    <t xml:space="preserve">' never on a fixed row.</t>
  </si>
  <si>
    <t xml:space="preserve">Private Function FindHeaderRow(ws As Worksheet, ByVal token As String) As Long</t>
  </si>
  <si>
    <t xml:space="preserve">    Dim r As Long, c As Long</t>
  </si>
  <si>
    <t xml:space="preserve">    For r = 1 To 30</t>
  </si>
  <si>
    <t xml:space="preserve">        For c = 1 To 30</t>
  </si>
  <si>
    <t xml:space="preserve">            If InStr(1, CStr(ws.Cells(r, c).Value &amp; ""), token, vbTextCompare) &gt; 0 Then</t>
  </si>
  <si>
    <t xml:space="preserve">                FindHeaderRow = r</t>
  </si>
  <si>
    <t xml:space="preserve">                Exit Function</t>
  </si>
  <si>
    <t xml:space="preserve">            End If</t>
  </si>
  <si>
    <t xml:space="preserve">        Next c</t>
  </si>
  <si>
    <t xml:space="preserve">    FindHeaderRow = 0</t>
  </si>
  <si>
    <t xml:space="preserve">Private Function ColumnOf(data As Variant, ByVal header As String) As Long</t>
  </si>
  <si>
    <t xml:space="preserve">    Dim c As Long</t>
  </si>
  <si>
    <t xml:space="preserve">    For c = 1 To UBound(data, 2)</t>
  </si>
  <si>
    <t xml:space="preserve">        If StrComp(Trim$(CStr(data(1, c) &amp; "")), header, vbTextCompare) = 0 Then</t>
  </si>
  <si>
    <t xml:space="preserve">            ColumnOf = c</t>
  </si>
  <si>
    <t xml:space="preserve">            Exit Function</t>
  </si>
  <si>
    <t xml:space="preserve">    ColumnOf = 0</t>
  </si>
  <si>
    <t xml:space="preserve">Private Function IsSubtotal(data As Variant, ByVal r As Long, ByVal cText As Long) As Boolean</t>
  </si>
  <si>
    <t xml:space="preserve">    If cText = 0 Then Exit Function</t>
  </si>
  <si>
    <t xml:space="preserve">    IsSubtotal = (InStr(1, CStr(data(r, cText) &amp; ""), "total", vbTextCompare) &gt; 0)</t>
  </si>
  <si>
    <t xml:space="preserve">'==== Module: modTransform =====================================================</t>
  </si>
  <si>
    <t xml:space="preserve">' BuildStaging: the only place in the tool where business rules live.</t>
  </si>
  <si>
    <t xml:space="preserve">' Rules applied, in order:</t>
  </si>
  <si>
    <t xml:space="preserve">'   1  reject blank cost centres          (cannot be reported to an owner)</t>
  </si>
  <si>
    <t xml:space="preserve">'   2  map the account to a reporting line via the Mapping sheet</t>
  </si>
  <si>
    <t xml:space="preserve">'   3  unmapped accounts are staged, not dropped, and flagged UNMAPPED so the</t>
  </si>
  <si>
    <t xml:space="preserve">'      control total still ties and the line is visible on the Exceptions sheet</t>
  </si>
  <si>
    <t xml:space="preserve">'   4  flag duplicate document numbers carrying the same amount</t>
  </si>
  <si>
    <t xml:space="preserve">'   5  flag credits on expense accounts above the materiality on the panel</t>
  </si>
  <si>
    <t xml:space="preserve">'   6  flag a cost centre and reporting line that has spend but no budget</t>
  </si>
  <si>
    <t xml:space="preserve">'  The budget is deliberately NOT attached to the document line. A budget is a</t>
  </si>
  <si>
    <t xml:space="preserve">'  monthly figure for a cost centre and reporting line; repeating it against</t>
  </si>
  <si>
    <t xml:space="preserve">'  every document that hits that combination would double count it in any</t>
  </si>
  <si>
    <t xml:space="preserve">'  SUMIFS downstream. The parsed budget is written to its own sheet instead.</t>
  </si>
  <si>
    <t xml:space="preserve">Public Function BuildStaging(glData As Variant, budData As Variant, _</t>
  </si>
  <si>
    <t xml:space="preserve">                             ByRef rowsStaged As Long, ByRef rowsRejected As Long, _</t>
  </si>
  <si>
    <t xml:space="preserve">                             ByRef controlTotal As Double) As Variant</t>
  </si>
  <si>
    <t xml:space="preserve">    Dim mapD As Object, budD As Object, dupD As Object</t>
  </si>
  <si>
    <t xml:space="preserve">    Dim out() As Variant</t>
  </si>
  <si>
    <t xml:space="preserve">    Dim cc As String, acct As String, line As String, key As String</t>
  </si>
  <si>
    <t xml:space="preserve">    Dim amt As Double, tol As Double</t>
  </si>
  <si>
    <t xml:space="preserve">    Dim flag As String</t>
  </si>
  <si>
    <t xml:space="preserve">    Set mapD = LoadMapping()</t>
  </si>
  <si>
    <t xml:space="preserve">    Set budD = LoadBudget(budData)</t>
  </si>
  <si>
    <t xml:space="preserve">    Set dupD = CreateObject("Scripting.Dictionary")</t>
  </si>
  <si>
    <t xml:space="preserve">    tol = SafeDouble(PanelValue(CP_TOL))</t>
  </si>
  <si>
    <t xml:space="preserve">    ReDim out(1 To UBound(glData, 1), 1 To 9)</t>
  </si>
  <si>
    <t xml:space="preserve">    rowsRejected = 0</t>
  </si>
  <si>
    <t xml:space="preserve">    For r = 1 To UBound(glData, 1)</t>
  </si>
  <si>
    <t xml:space="preserve">        If Len(CStr(glData(r, 2) &amp; "")) = 0 Then Exit For   ' end of the array</t>
  </si>
  <si>
    <t xml:space="preserve">        cc = CStr(glData(r, 1))</t>
  </si>
  <si>
    <t xml:space="preserve">        acct = CStr(glData(r, 2))</t>
  </si>
  <si>
    <t xml:space="preserve">        amt = SafeDouble(glData(r, 6))</t>
  </si>
  <si>
    <t xml:space="preserve">        flag = vbNullString</t>
  </si>
  <si>
    <t xml:space="preserve">        If Len(cc) = 0 Then</t>
  </si>
  <si>
    <t xml:space="preserve">            rowsRejected = rowsRejected + 1</t>
  </si>
  <si>
    <t xml:space="preserve">            flag = "NO COST CENTRE"</t>
  </si>
  <si>
    <t xml:space="preserve">            cc = "UNASSIGNED"</t>
  </si>
  <si>
    <t xml:space="preserve">        If mapD.Exists(acct) Then</t>
  </si>
  <si>
    <t xml:space="preserve">            line = mapD(acct)</t>
  </si>
  <si>
    <t xml:space="preserve">        Else</t>
  </si>
  <si>
    <t xml:space="preserve">            line = "UNMAPPED"</t>
  </si>
  <si>
    <t xml:space="preserve">            flag = Trim$(flag &amp; " UNMAPPED")</t>
  </si>
  <si>
    <t xml:space="preserve">        key = acct &amp; "|" &amp; CStr(glData(r, 4)) &amp; "|" &amp; Format$(amt, "0.00")</t>
  </si>
  <si>
    <t xml:space="preserve">        If dupD.Exists(key) Then</t>
  </si>
  <si>
    <t xml:space="preserve">            flag = Trim$(flag &amp; " DUPLICATE")</t>
  </si>
  <si>
    <t xml:space="preserve">            dupD.Add key, 1</t>
  </si>
  <si>
    <t xml:space="preserve">        If amt &lt; -tol And line &lt;&gt; "UNMAPPED" Then</t>
  </si>
  <si>
    <t xml:space="preserve">            flag = Trim$(flag &amp; " CREDIT")</t>
  </si>
  <si>
    <t xml:space="preserve">        If Not budD.Exists(cc &amp; "|" &amp; line) And line &lt;&gt; "UNMAPPED" Then</t>
  </si>
  <si>
    <t xml:space="preserve">            flag = Trim$(flag &amp; " NO BUDGET")</t>
  </si>
  <si>
    <t xml:space="preserve">        n = n + 1</t>
  </si>
  <si>
    <t xml:space="preserve">        out(n, 1) = cc</t>
  </si>
  <si>
    <t xml:space="preserve">        out(n, 2) = acct</t>
  </si>
  <si>
    <t xml:space="preserve">        out(n, 3) = line</t>
  </si>
  <si>
    <t xml:space="preserve">        out(n, 4) = glData(r, 3)</t>
  </si>
  <si>
    <t xml:space="preserve">        out(n, 5) = glData(r, 4)</t>
  </si>
  <si>
    <t xml:space="preserve">        out(n, 6) = glData(r, 5)</t>
  </si>
  <si>
    <t xml:space="preserve">        out(n, 7) = amt</t>
  </si>
  <si>
    <t xml:space="preserve">        out(n, 8) = IIf(Len(flag) = 0, "OK", flag)</t>
  </si>
  <si>
    <t xml:space="preserve">        out(n, 9) = PanelValue(CP_PERIOD)</t>
  </si>
  <si>
    <t xml:space="preserve">        controlTotal = controlTotal + amt</t>
  </si>
  <si>
    <t xml:space="preserve">    rowsStaged = n</t>
  </si>
  <si>
    <t xml:space="preserve">    BuildStaging = out</t>
  </si>
  <si>
    <t xml:space="preserve">' LoadMapping: account to reporting line, read from the Mapping sheet. This is</t>
  </si>
  <si>
    <t xml:space="preserve">' the only table a finance user maintains, and it is deliberately on a worksheet</t>
  </si>
  <si>
    <t xml:space="preserve">' rather than in the code so that maintenance never needs a developer.</t>
  </si>
  <si>
    <t xml:space="preserve">Public Function LoadMapping() As Object</t>
  </si>
  <si>
    <t xml:space="preserve">    Dim d As Object, ws As Worksheet</t>
  </si>
  <si>
    <t xml:space="preserve">    Dim arr As Variant, r As Long, k As String</t>
  </si>
  <si>
    <t xml:space="preserve">    Set d = CreateObject("Scripting.Dictionary")</t>
  </si>
  <si>
    <t xml:space="preserve">    d.CompareMode = 1                      ' vbTextCompare</t>
  </si>
  <si>
    <t xml:space="preserve">    Set ws = Sheets(SH_MAP)</t>
  </si>
  <si>
    <t xml:space="preserve">    arr = ws.Range("B7:C" &amp; LastRow(ws, 2)).Value</t>
  </si>
  <si>
    <t xml:space="preserve">    For r = 1 To UBound(arr, 1)</t>
  </si>
  <si>
    <t xml:space="preserve">        k = CleanCode(arr(r, 1))</t>
  </si>
  <si>
    <t xml:space="preserve">        If Len(k) &gt; 0 Then</t>
  </si>
  <si>
    <t xml:space="preserve">            If Not d.Exists(k) Then</t>
  </si>
  <si>
    <t xml:space="preserve">                d.Add k, Trim$(CStr(arr(r, 2) &amp; ""))</t>
  </si>
  <si>
    <t xml:space="preserve">            Else</t>
  </si>
  <si>
    <t xml:space="preserve">                Err.Raise vbObjectError + 511, "LoadMapping", _</t>
  </si>
  <si>
    <t xml:space="preserve">                    "Account " &amp; k &amp; " appears twice on the Mapping sheet. " &amp; _</t>
  </si>
  <si>
    <t xml:space="preserve">                    "Remove the duplicate before running."</t>
  </si>
  <si>
    <t xml:space="preserve">    If d.Count = 0 Then</t>
  </si>
  <si>
    <t xml:space="preserve">        Err.Raise vbObjectError + 512, "LoadMapping", "The Mapping sheet is empty."</t>
  </si>
  <si>
    <t xml:space="preserve">    Set LoadMapping = d</t>
  </si>
  <si>
    <t xml:space="preserve">Private Function LoadBudget(budData As Variant) As Object</t>
  </si>
  <si>
    <t xml:space="preserve">    Dim d As Object, r As Long, k As String</t>
  </si>
  <si>
    <t xml:space="preserve">    d.CompareMode = 1</t>
  </si>
  <si>
    <t xml:space="preserve">    For r = 1 To UBound(budData, 1)</t>
  </si>
  <si>
    <t xml:space="preserve">        If Len(CStr(budData(r, 1) &amp; "")) = 0 Then Exit For</t>
  </si>
  <si>
    <t xml:space="preserve">        k = CStr(budData(r, 1)) &amp; "|" &amp; CStr(budData(r, 2))</t>
  </si>
  <si>
    <t xml:space="preserve">        If d.Exists(k) Then</t>
  </si>
  <si>
    <t xml:space="preserve">            d(k) = d(k) + SafeDouble(budData(r, 3))</t>
  </si>
  <si>
    <t xml:space="preserve">            d.Add k, SafeDouble(budData(r, 3))</t>
  </si>
  <si>
    <t xml:space="preserve">    Set LoadBudget = d</t>
  </si>
  <si>
    <t xml:space="preserve">' ParseSapAmount: SAP writes amounts as text, in the user's decimal notation,</t>
  </si>
  <si>
    <t xml:space="preserve">' with the minus sign trailing. Everything here has been met in a live extract:</t>
  </si>
  <si>
    <t xml:space="preserve">'   "1.204,90-"   "12 480,55"   "(3,150.00)"   "-"   ""</t>
  </si>
  <si>
    <t xml:space="preserve">Public Function ParseSapAmount(ByVal v As Variant) As Double</t>
  </si>
  <si>
    <t xml:space="preserve">    Dim s As String, neg As Boolean</t>
  </si>
  <si>
    <t xml:space="preserve">    If IsError(v) Then Exit Function</t>
  </si>
  <si>
    <t xml:space="preserve">    If IsNumeric(v) And Not VarType(v) = vbString Then</t>
  </si>
  <si>
    <t xml:space="preserve">        ParseSapAmount = CDbl(v)</t>
  </si>
  <si>
    <t xml:space="preserve">        Exit Function</t>
  </si>
  <si>
    <t xml:space="preserve">    s = Trim$(CStr(v &amp; ""))</t>
  </si>
  <si>
    <t xml:space="preserve">    If Len(s) = 0 Or s = "-" Then Exit Function</t>
  </si>
  <si>
    <t xml:space="preserve">    If Right$(s, 1) = "-" Then                       ' trailing minus</t>
  </si>
  <si>
    <t xml:space="preserve">        neg = True</t>
  </si>
  <si>
    <t xml:space="preserve">        s = Left$(s, Len(s) - 1)</t>
  </si>
  <si>
    <t xml:space="preserve">    ElseIf Left$(s, 1) = "(" And Right$(s, 1) = ")" Then</t>
  </si>
  <si>
    <t xml:space="preserve">        s = Mid$(s, 2, Len(s) - 2)</t>
  </si>
  <si>
    <t xml:space="preserve">    ElseIf Left$(s, 1) = "-" Then</t>
  </si>
  <si>
    <t xml:space="preserve">        s = Mid$(s, 2)</t>
  </si>
  <si>
    <t xml:space="preserve">    s = Replace$(s, " ", vbNullString)</t>
  </si>
  <si>
    <t xml:space="preserve">    s = Replace$(s, Chr$(160), vbNullString)         ' non breaking space</t>
  </si>
  <si>
    <t xml:space="preserve">    ' Decide which separator is the decimal by looking at the last one present.</t>
  </si>
  <si>
    <t xml:space="preserve">    If InStr(s, ",") &gt; 0 And InStr(s, ".") &gt; 0 Then</t>
  </si>
  <si>
    <t xml:space="preserve">        If InStrRev(s, ",") &gt; InStrRev(s, ".") Then</t>
  </si>
  <si>
    <t xml:space="preserve">            s = Replace$(s, ".", vbNullString)</t>
  </si>
  <si>
    <t xml:space="preserve">            s = Replace$(s, ",", ".")</t>
  </si>
  <si>
    <t xml:space="preserve">            s = Replace$(s, ",", vbNullString)</t>
  </si>
  <si>
    <t xml:space="preserve">    ElseIf InStr(s, ",") &gt; 0 Then</t>
  </si>
  <si>
    <t xml:space="preserve">        If Len(s) - InStrRev(s, ",") = 3 And Len(s) &gt; 4 Then</t>
  </si>
  <si>
    <t xml:space="preserve">            s = Replace$(s, ",", vbNullString)       ' thousands separator</t>
  </si>
  <si>
    <t xml:space="preserve">            s = Replace$(s, ",", ".")                ' decimal comma</t>
  </si>
  <si>
    <t xml:space="preserve">    If Not IsNumeric(s) Then</t>
  </si>
  <si>
    <t xml:space="preserve">        Err.Raise vbObjectError + 521, "ParseSapAmount", _</t>
  </si>
  <si>
    <t xml:space="preserve">            "Amount '" &amp; CStr(v) &amp; "' could not be read as a number."</t>
  </si>
  <si>
    <t xml:space="preserve">    ParseSapAmount = CDbl(s) * IIf(neg, -1, 1)</t>
  </si>
  <si>
    <t xml:space="preserve">' CleanCode: cost centre and account codes arrive with trailing spaces, leading</t>
  </si>
  <si>
    <t xml:space="preserve">' zeros and the occasional non breaking space. Two codes that look identical on</t>
  </si>
  <si>
    <t xml:space="preserve">' screen will not match in a dictionary until all of that is removed.</t>
  </si>
  <si>
    <t xml:space="preserve">Public Function CleanCode(ByVal v As Variant) As String</t>
  </si>
  <si>
    <t xml:space="preserve">    Dim s As String</t>
  </si>
  <si>
    <t xml:space="preserve">    s = Replace$(s, Chr$(160), vbNullString)</t>
  </si>
  <si>
    <t xml:space="preserve">    Do While Left$(s, 1) = "0" And Len(s) &gt; 1</t>
  </si>
  <si>
    <t xml:space="preserve">    Loop</t>
  </si>
  <si>
    <t xml:space="preserve">    CleanCode = UCase$(s)</t>
  </si>
  <si>
    <t xml:space="preserve">'==== Module: modOutput ========================================================</t>
  </si>
  <si>
    <t xml:space="preserve">' WriteStaging: one array write, not a loop. The sheet is cleared first so a</t>
  </si>
  <si>
    <t xml:space="preserve">' short month can never leave last month's tail behind it.</t>
  </si>
  <si>
    <t xml:space="preserve">Public Sub WriteStaging(staged As Variant, ByVal rowsStaged As Long)</t>
  </si>
  <si>
    <t xml:space="preserve">    Dim ws As Worksheet</t>
  </si>
  <si>
    <t xml:space="preserve">    Const FIRST_ROW As Long = 4</t>
  </si>
  <si>
    <t xml:space="preserve">    Set ws = Sheets(SH_STAGE)</t>
  </si>
  <si>
    <t xml:space="preserve">    ClearBelowHeader ws, FIRST_ROW</t>
  </si>
  <si>
    <t xml:space="preserve">    If rowsStaged = 0 Then Exit Sub</t>
  </si>
  <si>
    <t xml:space="preserve">    ws.Range(ws.Cells(FIRST_ROW, 2), ws.Cells(FIRST_ROW + rowsStaged - 1, 10)).Value = staged</t>
  </si>
  <si>
    <t xml:space="preserve">    ws.Range(ws.Cells(FIRST_ROW, 5), ws.Cells(FIRST_ROW + rowsStaged - 1, 5)).NumberFormat = "dd-mmm-yy"</t>
  </si>
  <si>
    <t xml:space="preserve">    ws.Range(ws.Cells(FIRST_ROW, 8), ws.Cells(FIRST_ROW + rowsStaged - 1, 8)).NumberFormat = "#,##0.00;(#,##0.00)"</t>
  </si>
  <si>
    <t xml:space="preserve">' WriteBudget: the unpivoted budget, one row per cost centre and reporting line.</t>
  </si>
  <si>
    <t xml:space="preserve">' Kept on its own sheet so that budget and actual are summed from separate</t>
  </si>
  <si>
    <t xml:space="preserve">' tables and can never contaminate each other.</t>
  </si>
  <si>
    <t xml:space="preserve">Public Sub WriteBudget(budData As Variant, ByVal rowsBudget As Long)</t>
  </si>
  <si>
    <t xml:space="preserve">    Set ws = Sheets(SH_BUD)</t>
  </si>
  <si>
    <t xml:space="preserve">    If rowsBudget = 0 Then Exit Sub</t>
  </si>
  <si>
    <t xml:space="preserve">    ws.Range(ws.Cells(FIRST_ROW, 2), ws.Cells(FIRST_ROW + rowsBudget - 1, 4)).Value = budData</t>
  </si>
  <si>
    <t xml:space="preserve">    ws.Range(ws.Cells(FIRST_ROW, 4), ws.Cells(FIRST_ROW + rowsBudget - 1, 4)).NumberFormat = "#,##0.00;(#,##0.00)"</t>
  </si>
  <si>
    <t xml:space="preserve">' RefreshExceptions: the exception counts are worksheet formulas over the</t>
  </si>
  <si>
    <t xml:space="preserve">' staging table, so all this does is force a calculate and read the totals back</t>
  </si>
  <si>
    <t xml:space="preserve">' for the status line. The rules stay visible to the reviewer.</t>
  </si>
  <si>
    <t xml:space="preserve">Public Sub RefreshExceptions()</t>
  </si>
  <si>
    <t xml:space="preserve">    Sheets(SH_EXC).Calculate</t>
  </si>
  <si>
    <t xml:space="preserve">    Sheets(SH_REP).Calculate</t>
  </si>
  <si>
    <t xml:space="preserve">' BurstCostCentrePacks: one workbook per cost centre owner. The pack sheet is a</t>
  </si>
  <si>
    <t xml:space="preserve">' template driven by a single cell, so the loop sets that cell, calculates,</t>
  </si>
  <si>
    <t xml:space="preserve">' copies the sheet to a new workbook, converts it to values and saves it.</t>
  </si>
  <si>
    <t xml:space="preserve">' Returns the number of packs written.</t>
  </si>
  <si>
    <t xml:space="preserve">Public Function BurstCostCentrePacks() As Long</t>
  </si>
  <si>
    <t xml:space="preserve">    Dim wsPack As Worksheet, wsMap As Worksheet</t>
  </si>
  <si>
    <t xml:space="preserve">    Dim wbOut As Workbook</t>
  </si>
  <si>
    <t xml:space="preserve">    Dim ccList As Variant</t>
  </si>
  <si>
    <t xml:space="preserve">    Dim i As Long, made As Long</t>
  </si>
  <si>
    <t xml:space="preserve">    Dim outPath As String, fileName As String</t>
  </si>
  <si>
    <t xml:space="preserve">    outPath = CStr(PanelValue(CP_OUTPATH))</t>
  </si>
  <si>
    <t xml:space="preserve">    If Right$(outPath, 1) &lt;&gt; Application.PathSeparator Then</t>
  </si>
  <si>
    <t xml:space="preserve">        outPath = outPath &amp; Application.PathSeparator</t>
  </si>
  <si>
    <t xml:space="preserve">    If Len(Dir$(outPath, vbDirectory)) = 0 Then</t>
  </si>
  <si>
    <t xml:space="preserve">        Err.Raise vbObjectError + 531, "BurstCostCentrePacks", _</t>
  </si>
  <si>
    <t xml:space="preserve">            "The output folder does not exist:" &amp; vbCrLf &amp; outPath</t>
  </si>
  <si>
    <t xml:space="preserve">    Set wsPack = Sheets(SH_PACK)</t>
  </si>
  <si>
    <t xml:space="preserve">    Set wsMap = Sheets(SH_MAP)</t>
  </si>
  <si>
    <t xml:space="preserve">    ccList = wsMap.Range("F7:F" &amp; LastRow(wsMap, 6)).Value</t>
  </si>
  <si>
    <t xml:space="preserve">    For i = 1 To UBound(ccList, 1)</t>
  </si>
  <si>
    <t xml:space="preserve">        If Len(CStr(ccList(i, 1) &amp; "")) &gt; 0 Then</t>
  </si>
  <si>
    <t xml:space="preserve">            wsPack.Range("D4").Value = ccList(i, 1)</t>
  </si>
  <si>
    <t xml:space="preserve">            wsPack.Calculate</t>
  </si>
  <si>
    <t xml:space="preserve">            wsPack.Copy                       ' creates a single sheet workbook</t>
  </si>
  <si>
    <t xml:space="preserve">            Set wbOut = ActiveWorkbook</t>
  </si>
  <si>
    <t xml:space="preserve">            With wbOut.Worksheets(1)</t>
  </si>
  <si>
    <t xml:space="preserve">                .UsedRange.Value = .UsedRange.Value      ' break links, ship values</t>
  </si>
  <si>
    <t xml:space="preserve">                .Range("A1").Activate                    ' cosmetic only, no Select</t>
  </si>
  <si>
    <t xml:space="preserve">            End With</t>
  </si>
  <si>
    <t xml:space="preserve">            fileName = "CC_" &amp; CStr(ccList(i, 1)) &amp; "_" &amp; _</t>
  </si>
  <si>
    <t xml:space="preserve">                       Format$(PanelValue(CP_PERIOD), "yyyy-mm") &amp; ".xlsx"</t>
  </si>
  <si>
    <t xml:space="preserve">            Application.DisplayAlerts = False</t>
  </si>
  <si>
    <t xml:space="preserve">            wbOut.SaveAs fileName:=outPath &amp; fileName, FileFormat:=xlOpenXMLWorkbook</t>
  </si>
  <si>
    <t xml:space="preserve">            wbOut.Close SaveChanges:=False</t>
  </si>
  <si>
    <t xml:space="preserve">            Application.DisplayAlerts = True</t>
  </si>
  <si>
    <t xml:space="preserve">            Set wbOut = Nothing</t>
  </si>
  <si>
    <t xml:space="preserve">            made = made + 1</t>
  </si>
  <si>
    <t xml:space="preserve">            Status "Written pack " &amp; made &amp; " of " &amp; UBound(ccList, 1) &amp; "..."</t>
  </si>
  <si>
    <t xml:space="preserve">    Next i</t>
  </si>
  <si>
    <t xml:space="preserve">    BurstCostCentrePacks = made</t>
  </si>
  <si>
    <t xml:space="preserve">'==== Module: modLog ===========================================================</t>
  </si>
  <si>
    <t xml:space="preserve">' LogRun: one row per run, appended, never overwritten. The control totals are</t>
  </si>
  <si>
    <t xml:space="preserve">' the point of it: a month can be re-opened a year later and the reader can see</t>
  </si>
  <si>
    <t xml:space="preserve">' what came in, what went out and whether the two agreed.</t>
  </si>
  <si>
    <t xml:space="preserve">Public Sub LogRun(ByVal runId As String, ByVal result As String, _</t>
  </si>
  <si>
    <t xml:space="preserve">                  ByVal rowsRead As Long, ByVal rowsStaged As Long, _</t>
  </si>
  <si>
    <t xml:space="preserve">                  ByVal rowsRejected As Long, ByVal ctrlIn As Double, _</t>
  </si>
  <si>
    <t xml:space="preserve">                  ByVal ctrlOut As Double, ByVal packCount As Long, _</t>
  </si>
  <si>
    <t xml:space="preserve">                  ByVal secs As Single, ByVal note As String)</t>
  </si>
  <si>
    <t xml:space="preserve">    Dim ws As Worksheet, r As Long</t>
  </si>
  <si>
    <t xml:space="preserve">    Set ws = Sheets(SH_LOG)</t>
  </si>
  <si>
    <t xml:space="preserve">    r = LastRow(ws, 2) + 1</t>
  </si>
  <si>
    <t xml:space="preserve">    If r &lt; 8 Then r = 8</t>
  </si>
  <si>
    <t xml:space="preserve">    ws.Cells(r, 2).Value = Now</t>
  </si>
  <si>
    <t xml:space="preserve">    ws.Cells(r, 2).NumberFormat = "dd-mmm-yy hh:mm"</t>
  </si>
  <si>
    <t xml:space="preserve">    ws.Cells(r, 3).Value = Environ$("USERNAME")</t>
  </si>
  <si>
    <t xml:space="preserve">    ws.Cells(r, 4).Value = PanelValue(CP_PERIOD)</t>
  </si>
  <si>
    <t xml:space="preserve">    ws.Cells(r, 5).Value = rowsRead</t>
  </si>
  <si>
    <t xml:space="preserve">    ws.Cells(r, 6).Value = rowsStaged</t>
  </si>
  <si>
    <t xml:space="preserve">    ws.Cells(r, 7).Value = rowsRejected</t>
  </si>
  <si>
    <t xml:space="preserve">    ws.Cells(r, 8).Value = ctrlIn</t>
  </si>
  <si>
    <t xml:space="preserve">    ws.Cells(r, 9).Value = ctrlOut</t>
  </si>
  <si>
    <t xml:space="preserve">    ws.Cells(r, 10).Value = ctrlIn - ctrlOut</t>
  </si>
  <si>
    <t xml:space="preserve">    ws.Cells(r, 11).Value = packCount</t>
  </si>
  <si>
    <t xml:space="preserve">    ws.Cells(r, 12).Value = secs</t>
  </si>
  <si>
    <t xml:space="preserve">    ws.Cells(r, 13).Value = result</t>
  </si>
  <si>
    <t xml:space="preserve">    ws.Cells(r, 14).Value = note</t>
  </si>
  <si>
    <t xml:space="preserve">    ws.Range(ws.Cells(r, 8), ws.Cells(r, 10)).NumberFormat = "#,##0.00;(#,##0.00)"</t>
  </si>
  <si>
    <t xml:space="preserve">'==== Module: modUtils =========================================================</t>
  </si>
  <si>
    <t xml:space="preserve">Public Function LastRow(ws As Worksheet, ByVal col As Long) As Long</t>
  </si>
  <si>
    <t xml:space="preserve">    LastRow = ws.Cells(ws.Rows.Count, col).End(xlUp).Row</t>
  </si>
  <si>
    <t xml:space="preserve">Public Sub ClearBelowHeader(ws As Worksheet, ByVal firstRow As Long)</t>
  </si>
  <si>
    <t xml:space="preserve">    Dim lr As Long</t>
  </si>
  <si>
    <t xml:space="preserve">    lr = ws.Cells(ws.Rows.Count, 2).End(xlUp).Row</t>
  </si>
  <si>
    <t xml:space="preserve">    If lr &gt;= firstRow Then</t>
  </si>
  <si>
    <t xml:space="preserve">        ws.Range(ws.Rows(firstRow), ws.Rows(lr)).ClearContents</t>
  </si>
  <si>
    <t xml:space="preserve">Public Function SheetExists(ByVal nm As String) As Boolean</t>
  </si>
  <si>
    <t xml:space="preserve">    For Each ws In ThisWorkbook.Worksheets</t>
  </si>
  <si>
    <t xml:space="preserve">        If StrComp(ws.Name, nm, vbTextCompare) = 0 Then</t>
  </si>
  <si>
    <t xml:space="preserve">            SheetExists = True</t>
  </si>
  <si>
    <t xml:space="preserve">    Next ws</t>
  </si>
  <si>
    <t xml:space="preserve">Public Function SafeDouble(ByVal v As Variant) As Double</t>
  </si>
  <si>
    <t xml:space="preserve">    If IsNumeric(v) Then SafeDouble = CDbl(v)</t>
  </si>
  <si>
    <t xml:space="preserve">Public Function SafeDate(ByVal v As Variant) As Variant</t>
  </si>
  <si>
    <t xml:space="preserve">    If IsDate(v) Then</t>
  </si>
  <si>
    <t xml:space="preserve">        SafeDate = CDate(v)</t>
  </si>
  <si>
    <t xml:space="preserve">    Else</t>
  </si>
  <si>
    <t xml:space="preserve">        SafeDate = vbNullString</t>
  </si>
  <si>
    <t xml:space="preserve">Public Function Ts() As String</t>
  </si>
  <si>
    <t xml:space="preserve">    Ts = Format$(Now, "dd-mmm-yy hh:nn:ss")</t>
  </si>
  <si>
    <t xml:space="preserve">' FastMode: screen, events and calculation off during a run and back on after.</t>
  </si>
  <si>
    <t xml:space="preserve">' Restoring these is the single most common omission in inherited macros, and it</t>
  </si>
  <si>
    <t xml:space="preserve">' is why a failed run so often leaves Excel apparently frozen.</t>
  </si>
  <si>
    <t xml:space="preserve">Public Sub FastMode(ByVal switchOn As Boolean)</t>
  </si>
  <si>
    <t xml:space="preserve">    With Application</t>
  </si>
  <si>
    <t xml:space="preserve">        If switchOn Then</t>
  </si>
  <si>
    <t xml:space="preserve">            .ScreenUpdating = False</t>
  </si>
  <si>
    <t xml:space="preserve">            .EnableEvents = False</t>
  </si>
  <si>
    <t xml:space="preserve">            .DisplayAlerts = False</t>
  </si>
  <si>
    <t xml:space="preserve">            .Calculation = xlCalculationManual</t>
  </si>
  <si>
    <t xml:space="preserve">            .Calculation = xlCalculationAutomatic</t>
  </si>
  <si>
    <t xml:space="preserve">            .DisplayAlerts = True</t>
  </si>
  <si>
    <t xml:space="preserve">            .EnableEvents = True</t>
  </si>
  <si>
    <t xml:space="preserve">            .ScreenUpdating = True</t>
  </si>
  <si>
    <t xml:space="preserve">            .StatusBar = False</t>
  </si>
</sst>
</file>

<file path=xl/styles.xml><?xml version="1.0" encoding="utf-8"?>
<styleSheet xmlns="http://schemas.openxmlformats.org/spreadsheetml/2006/main">
  <numFmts count="8">
    <numFmt numFmtId="164" formatCode="General"/>
    <numFmt numFmtId="165" formatCode="#,##0.00;\(#,##0.00\);\-"/>
    <numFmt numFmtId="166" formatCode="dd\-mmm\-yy\ hh:mm"/>
    <numFmt numFmtId="167" formatCode="#,##0"/>
    <numFmt numFmtId="168" formatCode="#,##0;\(#,##0\);\-"/>
    <numFmt numFmtId="169" formatCode="0.0%"/>
    <numFmt numFmtId="170" formatCode="dd\-mmm\-yy"/>
    <numFmt numFmtId="171" formatCode="0.0"/>
  </numFmts>
  <fonts count="48">
    <font>
      <sz val="11"/>
      <color theme="1"/>
      <name val="Calibri"/>
      <family val="2"/>
      <charset val="1"/>
    </font>
    <font>
      <sz val="10"/>
      <name val="Arial"/>
      <family val="0"/>
    </font>
    <font>
      <sz val="10"/>
      <name val="Arial"/>
      <family val="0"/>
    </font>
    <font>
      <sz val="10"/>
      <name val="Arial"/>
      <family val="0"/>
    </font>
    <font>
      <b val="true"/>
      <sz val="15"/>
      <color rgb="FFC3D600"/>
      <name val="Arial"/>
      <family val="0"/>
      <charset val="1"/>
    </font>
    <font>
      <b val="true"/>
      <sz val="24"/>
      <color rgb="FFFFFFFF"/>
      <name val="Arial"/>
      <family val="0"/>
      <charset val="1"/>
    </font>
    <font>
      <sz val="11"/>
      <color rgb="FFC9CFD4"/>
      <name val="Arial"/>
      <family val="0"/>
      <charset val="1"/>
    </font>
    <font>
      <i val="true"/>
      <sz val="9.5"/>
      <color rgb="FFC3D600"/>
      <name val="Arial"/>
      <family val="0"/>
      <charset val="1"/>
    </font>
    <font>
      <b val="true"/>
      <sz val="9"/>
      <color rgb="FF5F6A73"/>
      <name val="Arial"/>
      <family val="0"/>
      <charset val="1"/>
    </font>
    <font>
      <b val="true"/>
      <sz val="11"/>
      <color rgb="FF1F2429"/>
      <name val="Arial"/>
      <family val="0"/>
      <charset val="1"/>
    </font>
    <font>
      <sz val="9.5"/>
      <color rgb="FF1F2429"/>
      <name val="Arial"/>
      <family val="0"/>
      <charset val="1"/>
    </font>
    <font>
      <b val="true"/>
      <sz val="9.5"/>
      <color rgb="FFFFFFFF"/>
      <name val="Arial"/>
      <family val="0"/>
      <charset val="1"/>
    </font>
    <font>
      <b val="true"/>
      <sz val="8.5"/>
      <color rgb="FFFFFFFF"/>
      <name val="Arial"/>
      <family val="0"/>
      <charset val="1"/>
    </font>
    <font>
      <b val="true"/>
      <sz val="8.5"/>
      <color rgb="FF1F2429"/>
      <name val="Arial"/>
      <family val="0"/>
      <charset val="1"/>
    </font>
    <font>
      <sz val="8.5"/>
      <color rgb="FF5F6A73"/>
      <name val="Arial"/>
      <family val="0"/>
      <charset val="1"/>
    </font>
    <font>
      <sz val="8.5"/>
      <color rgb="FF1F2429"/>
      <name val="Arial"/>
      <family val="0"/>
      <charset val="1"/>
    </font>
    <font>
      <b val="true"/>
      <sz val="9"/>
      <color rgb="FF8A9C00"/>
      <name val="Arial"/>
      <family val="0"/>
      <charset val="1"/>
    </font>
    <font>
      <b val="true"/>
      <sz val="9"/>
      <color rgb="FF1F2429"/>
      <name val="Arial"/>
      <family val="0"/>
      <charset val="1"/>
    </font>
    <font>
      <sz val="9"/>
      <color rgb="FF1F2429"/>
      <name val="Arial"/>
      <family val="0"/>
      <charset val="1"/>
    </font>
    <font>
      <b val="true"/>
      <sz val="13"/>
      <color rgb="FFFFFFFF"/>
      <name val="Arial"/>
      <family val="0"/>
      <charset val="1"/>
    </font>
    <font>
      <sz val="9"/>
      <color rgb="FF5F6A73"/>
      <name val="Arial"/>
      <family val="0"/>
      <charset val="1"/>
    </font>
    <font>
      <b val="true"/>
      <sz val="11"/>
      <color rgb="FFC3D600"/>
      <name val="Arial"/>
      <family val="0"/>
      <charset val="1"/>
    </font>
    <font>
      <sz val="9"/>
      <color rgb="FF5F6A73"/>
      <name val="Courier New"/>
      <family val="0"/>
      <charset val="1"/>
    </font>
    <font>
      <b val="true"/>
      <sz val="9"/>
      <color rgb="FF0000FF"/>
      <name val="Arial"/>
      <family val="0"/>
      <charset val="1"/>
    </font>
    <font>
      <sz val="8"/>
      <color rgb="FF5F6A73"/>
      <name val="Arial"/>
      <family val="0"/>
      <charset val="1"/>
    </font>
    <font>
      <b val="true"/>
      <sz val="9"/>
      <color rgb="FF008000"/>
      <name val="Arial"/>
      <family val="0"/>
      <charset val="1"/>
    </font>
    <font>
      <i val="true"/>
      <sz val="8.5"/>
      <color rgb="FF5F6A73"/>
      <name val="Arial"/>
      <family val="0"/>
      <charset val="1"/>
    </font>
    <font>
      <i val="true"/>
      <sz val="9"/>
      <color rgb="FF5F6A73"/>
      <name val="Arial"/>
      <family val="0"/>
      <charset val="1"/>
    </font>
    <font>
      <sz val="10"/>
      <name val="Arial"/>
      <family val="2"/>
    </font>
    <font>
      <b val="true"/>
      <sz val="9"/>
      <color rgb="FFA8271B"/>
      <name val="Arial"/>
      <family val="0"/>
      <charset val="1"/>
    </font>
    <font>
      <b val="true"/>
      <sz val="8.5"/>
      <color rgb="FF8A9C00"/>
      <name val="Arial"/>
      <family val="0"/>
      <charset val="1"/>
    </font>
    <font>
      <b val="true"/>
      <sz val="8"/>
      <color rgb="FF1F2429"/>
      <name val="Arial"/>
      <family val="0"/>
      <charset val="1"/>
    </font>
    <font>
      <b val="true"/>
      <sz val="7.5"/>
      <color rgb="FFFFFFFF"/>
      <name val="Arial"/>
      <family val="0"/>
      <charset val="1"/>
    </font>
    <font>
      <sz val="8"/>
      <color rgb="FF1F2429"/>
      <name val="Arial"/>
      <family val="0"/>
      <charset val="1"/>
    </font>
    <font>
      <i val="true"/>
      <sz val="8"/>
      <color rgb="FF5F6A73"/>
      <name val="Arial"/>
      <family val="0"/>
      <charset val="1"/>
    </font>
    <font>
      <b val="true"/>
      <sz val="8"/>
      <color rgb="FFA8271B"/>
      <name val="Arial"/>
      <family val="0"/>
      <charset val="1"/>
    </font>
    <font>
      <b val="true"/>
      <sz val="10"/>
      <color rgb="FF1F2429"/>
      <name val="Arial"/>
      <family val="0"/>
      <charset val="1"/>
    </font>
    <font>
      <b val="true"/>
      <sz val="11"/>
      <color rgb="FF0000FF"/>
      <name val="Arial"/>
      <family val="0"/>
      <charset val="1"/>
    </font>
    <font>
      <sz val="8"/>
      <color rgb="FFA8271B"/>
      <name val="Arial"/>
      <family val="0"/>
      <charset val="1"/>
    </font>
    <font>
      <sz val="8.5"/>
      <color rgb="FFA8271B"/>
      <name val="Arial"/>
      <family val="0"/>
      <charset val="1"/>
    </font>
    <font>
      <sz val="8.5"/>
      <color rgb="FFB26A00"/>
      <name val="Arial"/>
      <family val="0"/>
      <charset val="1"/>
    </font>
    <font>
      <i val="true"/>
      <sz val="8.5"/>
      <color rgb="FFA8271B"/>
      <name val="Arial"/>
      <family val="0"/>
      <charset val="1"/>
    </font>
    <font>
      <sz val="9"/>
      <color rgb="FF0000FF"/>
      <name val="Arial"/>
      <family val="0"/>
      <charset val="1"/>
    </font>
    <font>
      <b val="true"/>
      <sz val="8.5"/>
      <color rgb="FFA8271B"/>
      <name val="Arial"/>
      <family val="0"/>
      <charset val="1"/>
    </font>
    <font>
      <sz val="7.5"/>
      <color rgb="FF9AA3AA"/>
      <name val="Courier New"/>
      <family val="0"/>
      <charset val="1"/>
    </font>
    <font>
      <b val="true"/>
      <sz val="8"/>
      <color rgb="FF8A9C00"/>
      <name val="Courier New"/>
      <family val="0"/>
      <charset val="1"/>
    </font>
    <font>
      <sz val="8"/>
      <color rgb="FF5F6A73"/>
      <name val="Courier New"/>
      <family val="0"/>
      <charset val="1"/>
    </font>
    <font>
      <sz val="8"/>
      <color rgb="FF1F2429"/>
      <name val="Courier New"/>
      <family val="0"/>
      <charset val="1"/>
    </font>
  </fonts>
  <fills count="6">
    <fill>
      <patternFill patternType="none"/>
    </fill>
    <fill>
      <patternFill patternType="gray125"/>
    </fill>
    <fill>
      <patternFill patternType="solid">
        <fgColor rgb="FF1F2429"/>
        <bgColor rgb="FF343C44"/>
      </patternFill>
    </fill>
    <fill>
      <patternFill patternType="solid">
        <fgColor rgb="FF343C44"/>
        <bgColor rgb="FF1F2429"/>
      </patternFill>
    </fill>
    <fill>
      <patternFill patternType="solid">
        <fgColor rgb="FFF2F7CC"/>
        <bgColor rgb="FFFFF7C4"/>
      </patternFill>
    </fill>
    <fill>
      <patternFill patternType="solid">
        <fgColor rgb="FFFFF7C4"/>
        <bgColor rgb="FFF2F7CC"/>
      </patternFill>
    </fill>
  </fills>
  <borders count="6">
    <border diagonalUp="false" diagonalDown="false">
      <left/>
      <right/>
      <top/>
      <bottom/>
      <diagonal/>
    </border>
    <border diagonalUp="false" diagonalDown="false">
      <left style="thin">
        <color rgb="FFC7CDD1"/>
      </left>
      <right style="thin">
        <color rgb="FFC7CDD1"/>
      </right>
      <top style="thin">
        <color rgb="FFC7CDD1"/>
      </top>
      <bottom style="thin">
        <color rgb="FFC7CDD1"/>
      </bottom>
      <diagonal/>
    </border>
    <border diagonalUp="false" diagonalDown="false">
      <left style="thin">
        <color rgb="FFC7CDD1"/>
      </left>
      <right/>
      <top style="thin">
        <color rgb="FFC7CDD1"/>
      </top>
      <bottom style="thin">
        <color rgb="FFC7CDD1"/>
      </bottom>
      <diagonal/>
    </border>
    <border diagonalUp="false" diagonalDown="false">
      <left/>
      <right/>
      <top style="thin">
        <color rgb="FF1F2429"/>
      </top>
      <bottom/>
      <diagonal/>
    </border>
    <border diagonalUp="false" diagonalDown="false">
      <left/>
      <right/>
      <top style="thin">
        <color rgb="FF1F2429"/>
      </top>
      <bottom style="medium">
        <color rgb="FF1F2429"/>
      </bottom>
      <diagonal/>
    </border>
    <border diagonalUp="false" diagonalDown="false">
      <left style="thin">
        <color rgb="FFC7CDD1"/>
      </left>
      <right/>
      <top style="thin">
        <color rgb="FFC7CDD1"/>
      </top>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104">
    <xf numFmtId="164" fontId="0" fillId="0" borderId="0" xfId="0" applyFont="false" applyBorder="false" applyAlignment="false" applyProtection="false">
      <alignment horizontal="general" vertical="bottom" textRotation="0" wrapText="false" indent="0" shrinkToFit="false"/>
      <protection locked="true" hidden="false"/>
    </xf>
    <xf numFmtId="164" fontId="0" fillId="2" borderId="0" xfId="0" applyFont="false" applyBorder="false" applyAlignment="false" applyProtection="false">
      <alignment horizontal="general" vertical="bottom" textRotation="0" wrapText="false" indent="0" shrinkToFit="false"/>
      <protection locked="true" hidden="false"/>
    </xf>
    <xf numFmtId="164" fontId="4" fillId="2" borderId="0" xfId="0" applyFont="true" applyBorder="true" applyAlignment="true" applyProtection="false">
      <alignment horizontal="general" vertical="center" textRotation="0" wrapText="false" indent="0" shrinkToFit="false"/>
      <protection locked="true" hidden="false"/>
    </xf>
    <xf numFmtId="164" fontId="5" fillId="2" borderId="0" xfId="0" applyFont="true" applyBorder="true" applyAlignment="true" applyProtection="false">
      <alignment horizontal="general" vertical="center" textRotation="0" wrapText="false" indent="0" shrinkToFit="false"/>
      <protection locked="true" hidden="false"/>
    </xf>
    <xf numFmtId="164" fontId="6" fillId="2" borderId="0" xfId="0" applyFont="true" applyBorder="true" applyAlignment="true" applyProtection="false">
      <alignment horizontal="general" vertical="center" textRotation="0" wrapText="false" indent="0" shrinkToFit="false"/>
      <protection locked="true" hidden="false"/>
    </xf>
    <xf numFmtId="164" fontId="7" fillId="2" borderId="0" xfId="0" applyFont="true" applyBorder="true" applyAlignment="true" applyProtection="false">
      <alignment horizontal="general" vertical="center" textRotation="0" wrapText="false" indent="0" shrinkToFit="false"/>
      <protection locked="true" hidden="false"/>
    </xf>
    <xf numFmtId="164" fontId="8" fillId="0" borderId="0" xfId="0" applyFont="true" applyBorder="false" applyAlignment="true" applyProtection="false">
      <alignment horizontal="general" vertical="center" textRotation="0" wrapText="false" indent="0" shrinkToFit="false"/>
      <protection locked="true" hidden="false"/>
    </xf>
    <xf numFmtId="164" fontId="9" fillId="0" borderId="0" xfId="0" applyFont="true" applyBorder="false" applyAlignment="true" applyProtection="false">
      <alignment horizontal="general" vertical="center" textRotation="0" wrapText="false" indent="0" shrinkToFit="false"/>
      <protection locked="true" hidden="false"/>
    </xf>
    <xf numFmtId="164" fontId="10" fillId="0" borderId="0" xfId="0" applyFont="true" applyBorder="false" applyAlignment="true" applyProtection="false">
      <alignment horizontal="general" vertical="center" textRotation="0" wrapText="false" indent="0" shrinkToFit="false"/>
      <protection locked="true" hidden="false"/>
    </xf>
    <xf numFmtId="164" fontId="11" fillId="3" borderId="0" xfId="0" applyFont="true" applyBorder="true" applyAlignment="true" applyProtection="false">
      <alignment horizontal="general" vertical="center" textRotation="0" wrapText="false" indent="0" shrinkToFit="false"/>
      <protection locked="true" hidden="false"/>
    </xf>
    <xf numFmtId="164" fontId="10" fillId="0" borderId="0" xfId="0" applyFont="true" applyBorder="true" applyAlignment="true" applyProtection="false">
      <alignment horizontal="general" vertical="top" textRotation="0" wrapText="true" indent="0" shrinkToFit="false"/>
      <protection locked="true" hidden="false"/>
    </xf>
    <xf numFmtId="164" fontId="12" fillId="3" borderId="1" xfId="0" applyFont="true" applyBorder="true" applyAlignment="true" applyProtection="false">
      <alignment horizontal="center" vertical="center" textRotation="0" wrapText="true" indent="0" shrinkToFit="false"/>
      <protection locked="true" hidden="false"/>
    </xf>
    <xf numFmtId="164" fontId="13" fillId="0" borderId="1" xfId="0" applyFont="true" applyBorder="true" applyAlignment="true" applyProtection="false">
      <alignment horizontal="general" vertical="center" textRotation="0" wrapText="false" indent="0" shrinkToFit="false"/>
      <protection locked="true" hidden="false"/>
    </xf>
    <xf numFmtId="164" fontId="14" fillId="0" borderId="2" xfId="0" applyFont="true" applyBorder="true" applyAlignment="true" applyProtection="false">
      <alignment horizontal="general" vertical="center" textRotation="0" wrapText="true" indent="0" shrinkToFit="false"/>
      <protection locked="true" hidden="false"/>
    </xf>
    <xf numFmtId="164" fontId="15" fillId="0" borderId="1" xfId="0" applyFont="true" applyBorder="true" applyAlignment="true" applyProtection="false">
      <alignment horizontal="general" vertical="center" textRotation="0" wrapText="true" indent="0" shrinkToFit="false"/>
      <protection locked="true" hidden="false"/>
    </xf>
    <xf numFmtId="164" fontId="16" fillId="0" borderId="1" xfId="0" applyFont="true" applyBorder="true" applyAlignment="true" applyProtection="false">
      <alignment horizontal="general" vertical="center" textRotation="0" wrapText="false" indent="0" shrinkToFit="false"/>
      <protection locked="true" hidden="false"/>
    </xf>
    <xf numFmtId="164" fontId="17" fillId="0" borderId="1" xfId="0" applyFont="true" applyBorder="true" applyAlignment="true" applyProtection="false">
      <alignment horizontal="general" vertical="center" textRotation="0" wrapText="false" indent="0" shrinkToFit="false"/>
      <protection locked="true" hidden="false"/>
    </xf>
    <xf numFmtId="164" fontId="18" fillId="4" borderId="0" xfId="0" applyFont="true" applyBorder="true" applyAlignment="true" applyProtection="false">
      <alignment horizontal="general" vertical="center" textRotation="0" wrapText="true" indent="0" shrinkToFit="false"/>
      <protection locked="true" hidden="false"/>
    </xf>
    <xf numFmtId="164" fontId="19" fillId="2" borderId="0" xfId="0" applyFont="true" applyBorder="true" applyAlignment="true" applyProtection="false">
      <alignment horizontal="left" vertical="center" textRotation="0" wrapText="false" indent="0" shrinkToFit="false"/>
      <protection locked="true" hidden="false"/>
    </xf>
    <xf numFmtId="164" fontId="20" fillId="0" borderId="0" xfId="0" applyFont="true" applyBorder="true" applyAlignment="true" applyProtection="false">
      <alignment horizontal="general" vertical="center" textRotation="0" wrapText="false" indent="0" shrinkToFit="false"/>
      <protection locked="true" hidden="false"/>
    </xf>
    <xf numFmtId="164" fontId="21" fillId="2" borderId="0" xfId="0" applyFont="true" applyBorder="true" applyAlignment="true" applyProtection="false">
      <alignment horizontal="center" vertical="center" textRotation="0" wrapText="false" indent="0" shrinkToFit="false"/>
      <protection locked="true" hidden="false"/>
    </xf>
    <xf numFmtId="164" fontId="22" fillId="0" borderId="0" xfId="0" applyFont="true" applyBorder="false" applyAlignment="true" applyProtection="false">
      <alignment horizontal="general" vertical="center" textRotation="0" wrapText="false" indent="0" shrinkToFit="false"/>
      <protection locked="true" hidden="false"/>
    </xf>
    <xf numFmtId="164" fontId="14" fillId="0" borderId="0" xfId="0" applyFont="true" applyBorder="true" applyAlignment="true" applyProtection="false">
      <alignment horizontal="general" vertical="center" textRotation="0" wrapText="false" indent="0" shrinkToFit="false"/>
      <protection locked="true" hidden="false"/>
    </xf>
    <xf numFmtId="164" fontId="10" fillId="0" borderId="0" xfId="0" applyFont="true" applyBorder="false" applyAlignment="true" applyProtection="false">
      <alignment horizontal="general" vertical="center" textRotation="0" wrapText="false" indent="1" shrinkToFit="false"/>
      <protection locked="true" hidden="false"/>
    </xf>
    <xf numFmtId="164" fontId="23" fillId="5" borderId="2" xfId="0" applyFont="true" applyBorder="true" applyAlignment="true" applyProtection="false">
      <alignment horizontal="left" vertical="center" textRotation="0" wrapText="false" indent="0" shrinkToFit="false"/>
      <protection locked="true" hidden="false"/>
    </xf>
    <xf numFmtId="164" fontId="24" fillId="0" borderId="0" xfId="0" applyFont="true" applyBorder="false" applyAlignment="true" applyProtection="false">
      <alignment horizontal="general" vertical="center" textRotation="0" wrapText="true" indent="0" shrinkToFit="false"/>
      <protection locked="true" hidden="false"/>
    </xf>
    <xf numFmtId="165" fontId="23" fillId="5" borderId="2" xfId="0" applyFont="true" applyBorder="true" applyAlignment="true" applyProtection="false">
      <alignment horizontal="center" vertical="center" textRotation="0" wrapText="false" indent="0" shrinkToFit="false"/>
      <protection locked="true" hidden="false"/>
    </xf>
    <xf numFmtId="164" fontId="20" fillId="0" borderId="0" xfId="0" applyFont="true" applyBorder="false" applyAlignment="true" applyProtection="false">
      <alignment horizontal="general" vertical="center" textRotation="0" wrapText="false" indent="1" shrinkToFit="false"/>
      <protection locked="true" hidden="false"/>
    </xf>
    <xf numFmtId="166" fontId="25" fillId="0" borderId="1" xfId="0" applyFont="true" applyBorder="true" applyAlignment="true" applyProtection="false">
      <alignment horizontal="center" vertical="center" textRotation="0" wrapText="false" indent="0" shrinkToFit="false"/>
      <protection locked="true" hidden="false"/>
    </xf>
    <xf numFmtId="164" fontId="26" fillId="0" borderId="0" xfId="0" applyFont="true" applyBorder="true" applyAlignment="true" applyProtection="false">
      <alignment horizontal="general" vertical="center" textRotation="0" wrapText="true" indent="0" shrinkToFit="false"/>
      <protection locked="true" hidden="false"/>
    </xf>
    <xf numFmtId="164" fontId="25" fillId="0" borderId="1" xfId="0" applyFont="true" applyBorder="true" applyAlignment="true" applyProtection="false">
      <alignment horizontal="center" vertical="center" textRotation="0" wrapText="false" indent="0" shrinkToFit="false"/>
      <protection locked="true" hidden="false"/>
    </xf>
    <xf numFmtId="167" fontId="25" fillId="0" borderId="1" xfId="0" applyFont="true" applyBorder="true" applyAlignment="true" applyProtection="false">
      <alignment horizontal="center" vertical="center" textRotation="0" wrapText="false" indent="0" shrinkToFit="false"/>
      <protection locked="true" hidden="false"/>
    </xf>
    <xf numFmtId="165" fontId="25" fillId="0" borderId="1" xfId="0" applyFont="true" applyBorder="true" applyAlignment="true" applyProtection="false">
      <alignment horizontal="center" vertical="center" textRotation="0" wrapText="false" indent="0" shrinkToFit="false"/>
      <protection locked="true" hidden="false"/>
    </xf>
    <xf numFmtId="164" fontId="27" fillId="0" borderId="0" xfId="0" applyFont="true" applyBorder="true" applyAlignment="true" applyProtection="false">
      <alignment horizontal="general" vertical="center" textRotation="0" wrapText="false" indent="0" shrinkToFit="false"/>
      <protection locked="true" hidden="false"/>
    </xf>
    <xf numFmtId="164" fontId="18" fillId="0" borderId="1" xfId="0" applyFont="true" applyBorder="true" applyAlignment="true" applyProtection="false">
      <alignment horizontal="general" vertical="center" textRotation="0" wrapText="false" indent="0" shrinkToFit="false"/>
      <protection locked="true" hidden="false"/>
    </xf>
    <xf numFmtId="168" fontId="18" fillId="0" borderId="1" xfId="0" applyFont="true" applyBorder="true" applyAlignment="true" applyProtection="false">
      <alignment horizontal="general" vertical="center" textRotation="0" wrapText="false" indent="0" shrinkToFit="false"/>
      <protection locked="true" hidden="false"/>
    </xf>
    <xf numFmtId="169" fontId="18" fillId="0" borderId="1" xfId="0" applyFont="true" applyBorder="true" applyAlignment="true" applyProtection="false">
      <alignment horizontal="general" vertical="center" textRotation="0" wrapText="false" indent="0" shrinkToFit="false"/>
      <protection locked="true" hidden="false"/>
    </xf>
    <xf numFmtId="164" fontId="24" fillId="0" borderId="1" xfId="0" applyFont="true" applyBorder="true" applyAlignment="true" applyProtection="false">
      <alignment horizontal="center" vertical="center" textRotation="0" wrapText="false" indent="0" shrinkToFit="false"/>
      <protection locked="true" hidden="false"/>
    </xf>
    <xf numFmtId="164" fontId="29" fillId="0" borderId="1" xfId="0" applyFont="true" applyBorder="true" applyAlignment="true" applyProtection="false">
      <alignment horizontal="general" vertical="center" textRotation="0" wrapText="false" indent="0" shrinkToFit="false"/>
      <protection locked="true" hidden="false"/>
    </xf>
    <xf numFmtId="164" fontId="17" fillId="0" borderId="3" xfId="0" applyFont="true" applyBorder="true" applyAlignment="true" applyProtection="false">
      <alignment horizontal="general" vertical="center" textRotation="0" wrapText="false" indent="0" shrinkToFit="false"/>
      <protection locked="true" hidden="false"/>
    </xf>
    <xf numFmtId="168" fontId="17" fillId="4" borderId="4" xfId="0" applyFont="true" applyBorder="true" applyAlignment="true" applyProtection="false">
      <alignment horizontal="general" vertical="center" textRotation="0" wrapText="false" indent="0" shrinkToFit="false"/>
      <protection locked="true" hidden="false"/>
    </xf>
    <xf numFmtId="169" fontId="17" fillId="4" borderId="4" xfId="0" applyFont="true" applyBorder="true" applyAlignment="true" applyProtection="false">
      <alignment horizontal="general" vertical="center" textRotation="0" wrapText="false" indent="0" shrinkToFit="false"/>
      <protection locked="true" hidden="false"/>
    </xf>
    <xf numFmtId="164" fontId="10" fillId="4" borderId="4" xfId="0" applyFont="true" applyBorder="true" applyAlignment="true" applyProtection="false">
      <alignment horizontal="general" vertical="center" textRotation="0" wrapText="false" indent="0" shrinkToFit="false"/>
      <protection locked="true" hidden="false"/>
    </xf>
    <xf numFmtId="164" fontId="26" fillId="0" borderId="0" xfId="0" applyFont="true" applyBorder="false" applyAlignment="true" applyProtection="false">
      <alignment horizontal="general" vertical="center" textRotation="0" wrapText="false" indent="0" shrinkToFit="false"/>
      <protection locked="true" hidden="false"/>
    </xf>
    <xf numFmtId="165" fontId="14" fillId="0" borderId="0" xfId="0" applyFont="true" applyBorder="false" applyAlignment="true" applyProtection="false">
      <alignment horizontal="right" vertical="center" textRotation="0" wrapText="false" indent="0" shrinkToFit="false"/>
      <protection locked="true" hidden="false"/>
    </xf>
    <xf numFmtId="164" fontId="30" fillId="0" borderId="0" xfId="0" applyFont="true" applyBorder="false" applyAlignment="true" applyProtection="false">
      <alignment horizontal="general" vertical="center" textRotation="0" wrapText="false" indent="0" shrinkToFit="false"/>
      <protection locked="true" hidden="false"/>
    </xf>
    <xf numFmtId="164" fontId="14" fillId="0" borderId="2" xfId="0" applyFont="true" applyBorder="true" applyAlignment="true" applyProtection="false">
      <alignment horizontal="center" vertical="center" textRotation="0" wrapText="false" indent="0" shrinkToFit="false"/>
      <protection locked="true" hidden="false"/>
    </xf>
    <xf numFmtId="164" fontId="31" fillId="0" borderId="1" xfId="0" applyFont="true" applyBorder="true" applyAlignment="true" applyProtection="false">
      <alignment horizontal="center" vertical="center" textRotation="0" wrapText="false" indent="0" shrinkToFit="false"/>
      <protection locked="true" hidden="false"/>
    </xf>
    <xf numFmtId="164" fontId="12" fillId="3" borderId="1" xfId="0" applyFont="true" applyBorder="true" applyAlignment="true" applyProtection="false">
      <alignment horizontal="general" vertical="center" textRotation="0" wrapText="false" indent="0" shrinkToFit="false"/>
      <protection locked="true" hidden="false"/>
    </xf>
    <xf numFmtId="164" fontId="32" fillId="3" borderId="1" xfId="0" applyFont="true" applyBorder="true" applyAlignment="true" applyProtection="false">
      <alignment horizontal="center" vertical="bottom" textRotation="0" wrapText="true" indent="0" shrinkToFit="false"/>
      <protection locked="true" hidden="false"/>
    </xf>
    <xf numFmtId="164" fontId="15" fillId="0" borderId="1" xfId="0" applyFont="true" applyBorder="true" applyAlignment="true" applyProtection="false">
      <alignment horizontal="center" vertical="center" textRotation="0" wrapText="false" indent="0" shrinkToFit="false"/>
      <protection locked="true" hidden="false"/>
    </xf>
    <xf numFmtId="168" fontId="33" fillId="0" borderId="1" xfId="0" applyFont="true" applyBorder="true" applyAlignment="true" applyProtection="false">
      <alignment horizontal="center" vertical="center" textRotation="0" wrapText="false" indent="0" shrinkToFit="false"/>
      <protection locked="true" hidden="false"/>
    </xf>
    <xf numFmtId="164" fontId="34" fillId="0" borderId="0" xfId="0" applyFont="true" applyBorder="true" applyAlignment="true" applyProtection="false">
      <alignment horizontal="general" vertical="center" textRotation="0" wrapText="false" indent="0" shrinkToFit="false"/>
      <protection locked="true" hidden="false"/>
    </xf>
    <xf numFmtId="164" fontId="24" fillId="0" borderId="0" xfId="0" applyFont="true" applyBorder="false" applyAlignment="true" applyProtection="false">
      <alignment horizontal="center" vertical="center" textRotation="0" wrapText="false" indent="0" shrinkToFit="false"/>
      <protection locked="true" hidden="false"/>
    </xf>
    <xf numFmtId="164" fontId="18" fillId="0" borderId="1" xfId="0" applyFont="true" applyBorder="true" applyAlignment="true" applyProtection="false">
      <alignment horizontal="center" vertical="center" textRotation="0" wrapText="false" indent="0" shrinkToFit="false"/>
      <protection locked="true" hidden="false"/>
    </xf>
    <xf numFmtId="168" fontId="17" fillId="0" borderId="1" xfId="0" applyFont="true" applyBorder="true" applyAlignment="true" applyProtection="false">
      <alignment horizontal="general" vertical="center" textRotation="0" wrapText="false" indent="0" shrinkToFit="false"/>
      <protection locked="true" hidden="false"/>
    </xf>
    <xf numFmtId="164" fontId="35" fillId="0" borderId="1" xfId="0" applyFont="true" applyBorder="true" applyAlignment="true" applyProtection="false">
      <alignment horizontal="center" vertical="center" textRotation="0" wrapText="false" indent="0" shrinkToFit="false"/>
      <protection locked="true" hidden="false"/>
    </xf>
    <xf numFmtId="164" fontId="26" fillId="0" borderId="3" xfId="0" applyFont="true" applyBorder="true" applyAlignment="true" applyProtection="false">
      <alignment horizontal="general" vertical="center" textRotation="0" wrapText="false" indent="0" shrinkToFit="false"/>
      <protection locked="true" hidden="false"/>
    </xf>
    <xf numFmtId="168" fontId="17" fillId="0" borderId="4" xfId="0" applyFont="true" applyBorder="true" applyAlignment="true" applyProtection="false">
      <alignment horizontal="general" vertical="center" textRotation="0" wrapText="false" indent="0" shrinkToFit="false"/>
      <protection locked="true" hidden="false"/>
    </xf>
    <xf numFmtId="169" fontId="17" fillId="0" borderId="4" xfId="0" applyFont="true" applyBorder="true" applyAlignment="true" applyProtection="false">
      <alignment horizontal="general" vertical="center" textRotation="0" wrapText="false" indent="0" shrinkToFit="false"/>
      <protection locked="true" hidden="false"/>
    </xf>
    <xf numFmtId="164" fontId="34" fillId="0" borderId="3" xfId="0" applyFont="true" applyBorder="true" applyAlignment="true" applyProtection="false">
      <alignment horizontal="general" vertical="center" textRotation="0" wrapText="false" indent="0" shrinkToFit="false"/>
      <protection locked="true" hidden="false"/>
    </xf>
    <xf numFmtId="164" fontId="36" fillId="0" borderId="0" xfId="0" applyFont="true" applyBorder="false" applyAlignment="true" applyProtection="false">
      <alignment horizontal="general" vertical="center" textRotation="0" wrapText="false" indent="0" shrinkToFit="false"/>
      <protection locked="true" hidden="false"/>
    </xf>
    <xf numFmtId="164" fontId="37" fillId="5" borderId="1" xfId="0" applyFont="true" applyBorder="true" applyAlignment="true" applyProtection="false">
      <alignment horizontal="center" vertical="center" textRotation="0" wrapText="false" indent="0" shrinkToFit="false"/>
      <protection locked="true" hidden="false"/>
    </xf>
    <xf numFmtId="164" fontId="9" fillId="0" borderId="0" xfId="0" applyFont="true" applyBorder="true" applyAlignment="true" applyProtection="false">
      <alignment horizontal="general" vertical="center" textRotation="0" wrapText="false" indent="0" shrinkToFit="false"/>
      <protection locked="true" hidden="false"/>
    </xf>
    <xf numFmtId="164" fontId="18" fillId="0" borderId="0" xfId="0" applyFont="true" applyBorder="false" applyAlignment="true" applyProtection="false">
      <alignment horizontal="center" vertical="center" textRotation="0" wrapText="false" indent="0" shrinkToFit="false"/>
      <protection locked="true" hidden="false"/>
    </xf>
    <xf numFmtId="164" fontId="38" fillId="0" borderId="1" xfId="0" applyFont="true" applyBorder="true" applyAlignment="true" applyProtection="false">
      <alignment horizontal="center" vertical="center" textRotation="0" wrapText="false" indent="0" shrinkToFit="false"/>
      <protection locked="true" hidden="false"/>
    </xf>
    <xf numFmtId="164" fontId="18" fillId="0" borderId="5" xfId="0" applyFont="true" applyBorder="true" applyAlignment="true" applyProtection="false">
      <alignment horizontal="general" vertical="top" textRotation="0" wrapText="false" indent="0" shrinkToFit="false"/>
      <protection locked="true" hidden="false"/>
    </xf>
    <xf numFmtId="164" fontId="20" fillId="0" borderId="0" xfId="0" applyFont="true" applyBorder="false" applyAlignment="true" applyProtection="false">
      <alignment horizontal="general" vertical="center" textRotation="0" wrapText="false" indent="0" shrinkToFit="false"/>
      <protection locked="true" hidden="false"/>
    </xf>
    <xf numFmtId="164" fontId="18" fillId="0" borderId="0" xfId="0" applyFont="true" applyBorder="false" applyAlignment="true" applyProtection="false">
      <alignment horizontal="general" vertical="center" textRotation="0" wrapText="false" indent="0" shrinkToFit="false"/>
      <protection locked="true" hidden="false"/>
    </xf>
    <xf numFmtId="167" fontId="17" fillId="0" borderId="1" xfId="0" applyFont="true" applyBorder="true" applyAlignment="true" applyProtection="false">
      <alignment horizontal="center" vertical="center" textRotation="0" wrapText="false" indent="0" shrinkToFit="false"/>
      <protection locked="true" hidden="false"/>
    </xf>
    <xf numFmtId="165" fontId="18" fillId="0" borderId="1" xfId="0" applyFont="true" applyBorder="true" applyAlignment="true" applyProtection="false">
      <alignment horizontal="general" vertical="center" textRotation="0" wrapText="false" indent="0" shrinkToFit="false"/>
      <protection locked="true" hidden="false"/>
    </xf>
    <xf numFmtId="164" fontId="39" fillId="0" borderId="1" xfId="0" applyFont="true" applyBorder="true" applyAlignment="true" applyProtection="false">
      <alignment horizontal="center" vertical="center" textRotation="0" wrapText="false" indent="0" shrinkToFit="false"/>
      <protection locked="true" hidden="false"/>
    </xf>
    <xf numFmtId="164" fontId="13" fillId="0" borderId="1" xfId="0" applyFont="true" applyBorder="true" applyAlignment="true" applyProtection="false">
      <alignment horizontal="center" vertical="center" textRotation="0" wrapText="false" indent="0" shrinkToFit="false"/>
      <protection locked="true" hidden="false"/>
    </xf>
    <xf numFmtId="164" fontId="24" fillId="0" borderId="1" xfId="0" applyFont="true" applyBorder="true" applyAlignment="true" applyProtection="false">
      <alignment horizontal="general" vertical="center" textRotation="0" wrapText="true" indent="0" shrinkToFit="false"/>
      <protection locked="true" hidden="false"/>
    </xf>
    <xf numFmtId="164" fontId="40" fillId="0" borderId="1" xfId="0" applyFont="true" applyBorder="true" applyAlignment="true" applyProtection="false">
      <alignment horizontal="center" vertical="center" textRotation="0" wrapText="false" indent="0" shrinkToFit="false"/>
      <protection locked="true" hidden="false"/>
    </xf>
    <xf numFmtId="167" fontId="17" fillId="0" borderId="4" xfId="0" applyFont="true" applyBorder="true" applyAlignment="true" applyProtection="false">
      <alignment horizontal="center" vertical="center" textRotation="0" wrapText="false" indent="0" shrinkToFit="false"/>
      <protection locked="true" hidden="false"/>
    </xf>
    <xf numFmtId="165" fontId="17" fillId="0" borderId="4" xfId="0" applyFont="true" applyBorder="true" applyAlignment="true" applyProtection="false">
      <alignment horizontal="general" vertical="center" textRotation="0" wrapText="false" indent="0" shrinkToFit="false"/>
      <protection locked="true" hidden="false"/>
    </xf>
    <xf numFmtId="164" fontId="10" fillId="0" borderId="4" xfId="0" applyFont="true" applyBorder="true" applyAlignment="true" applyProtection="false">
      <alignment horizontal="general" vertical="center" textRotation="0" wrapText="false" indent="0" shrinkToFit="false"/>
      <protection locked="true" hidden="false"/>
    </xf>
    <xf numFmtId="165" fontId="15" fillId="0" borderId="1" xfId="0" applyFont="true" applyBorder="true" applyAlignment="true" applyProtection="false">
      <alignment horizontal="center" vertical="center" textRotation="0" wrapText="false" indent="0" shrinkToFit="false"/>
      <protection locked="true" hidden="false"/>
    </xf>
    <xf numFmtId="164" fontId="15" fillId="0" borderId="1" xfId="0" applyFont="true" applyBorder="true" applyAlignment="true" applyProtection="false">
      <alignment horizontal="general" vertical="center" textRotation="0" wrapText="false" indent="0" shrinkToFit="false"/>
      <protection locked="true" hidden="false"/>
    </xf>
    <xf numFmtId="170" fontId="15" fillId="0" borderId="1" xfId="0" applyFont="true" applyBorder="true" applyAlignment="true" applyProtection="false">
      <alignment horizontal="center" vertical="center" textRotation="0" wrapText="false" indent="0" shrinkToFit="false"/>
      <protection locked="true" hidden="false"/>
    </xf>
    <xf numFmtId="164" fontId="24" fillId="0" borderId="1" xfId="0" applyFont="true" applyBorder="true" applyAlignment="true" applyProtection="false">
      <alignment horizontal="general" vertical="center" textRotation="0" wrapText="false" indent="0" shrinkToFit="false"/>
      <protection locked="true" hidden="false"/>
    </xf>
    <xf numFmtId="165" fontId="15" fillId="0" borderId="1" xfId="0" applyFont="true" applyBorder="true" applyAlignment="true" applyProtection="false">
      <alignment horizontal="general" vertical="center" textRotation="0" wrapText="false" indent="0" shrinkToFit="false"/>
      <protection locked="true" hidden="false"/>
    </xf>
    <xf numFmtId="164" fontId="33" fillId="0" borderId="1" xfId="0" applyFont="true" applyBorder="true" applyAlignment="true" applyProtection="false">
      <alignment horizontal="center" vertical="center" textRotation="0" wrapText="false" indent="0" shrinkToFit="false"/>
      <protection locked="true" hidden="false"/>
    </xf>
    <xf numFmtId="164" fontId="17" fillId="0" borderId="3" xfId="0" applyFont="true" applyBorder="true" applyAlignment="true" applyProtection="false">
      <alignment horizontal="right" vertical="center" textRotation="0" wrapText="false" indent="0" shrinkToFit="false"/>
      <protection locked="true" hidden="false"/>
    </xf>
    <xf numFmtId="164" fontId="14" fillId="0" borderId="3" xfId="0" applyFont="true" applyBorder="true" applyAlignment="true" applyProtection="false">
      <alignment horizontal="center" vertical="center" textRotation="0" wrapText="false" indent="0" shrinkToFit="false"/>
      <protection locked="true" hidden="false"/>
    </xf>
    <xf numFmtId="164" fontId="13" fillId="0" borderId="4" xfId="0" applyFont="true" applyBorder="true" applyAlignment="true" applyProtection="false">
      <alignment horizontal="center" vertical="center" textRotation="0" wrapText="false" indent="0" shrinkToFit="false"/>
      <protection locked="true" hidden="false"/>
    </xf>
    <xf numFmtId="164" fontId="41" fillId="0" borderId="0" xfId="0" applyFont="true" applyBorder="false" applyAlignment="true" applyProtection="false">
      <alignment horizontal="general" vertical="center" textRotation="0" wrapText="true" indent="0" shrinkToFit="false"/>
      <protection locked="true" hidden="false"/>
    </xf>
    <xf numFmtId="164" fontId="42" fillId="0" borderId="1" xfId="0" applyFont="true" applyBorder="true" applyAlignment="true" applyProtection="false">
      <alignment horizontal="center" vertical="center" textRotation="0" wrapText="false" indent="0" shrinkToFit="false"/>
      <protection locked="true" hidden="false"/>
    </xf>
    <xf numFmtId="164" fontId="42" fillId="0" borderId="1" xfId="0" applyFont="true" applyBorder="true" applyAlignment="true" applyProtection="false">
      <alignment horizontal="general" vertical="center" textRotation="0" wrapText="false" indent="0" shrinkToFit="false"/>
      <protection locked="true" hidden="false"/>
    </xf>
    <xf numFmtId="164" fontId="14" fillId="0" borderId="1" xfId="0" applyFont="true" applyBorder="true" applyAlignment="true" applyProtection="false">
      <alignment horizontal="general" vertical="center" textRotation="0" wrapText="false" indent="0" shrinkToFit="false"/>
      <protection locked="true" hidden="false"/>
    </xf>
    <xf numFmtId="167" fontId="15" fillId="0" borderId="1" xfId="0" applyFont="true" applyBorder="true" applyAlignment="true" applyProtection="false">
      <alignment horizontal="center" vertical="center" textRotation="0" wrapText="false" indent="0" shrinkToFit="false"/>
      <protection locked="true" hidden="false"/>
    </xf>
    <xf numFmtId="164" fontId="17" fillId="0" borderId="3" xfId="0" applyFont="true" applyBorder="true" applyAlignment="true" applyProtection="false">
      <alignment horizontal="center" vertical="center" textRotation="0" wrapText="false" indent="0" shrinkToFit="false"/>
      <protection locked="true" hidden="false"/>
    </xf>
    <xf numFmtId="164" fontId="41" fillId="0" borderId="0" xfId="0" applyFont="true" applyBorder="true" applyAlignment="true" applyProtection="false">
      <alignment horizontal="general" vertical="center" textRotation="0" wrapText="true" indent="0" shrinkToFit="false"/>
      <protection locked="true" hidden="false"/>
    </xf>
    <xf numFmtId="166" fontId="15" fillId="0" borderId="1" xfId="0" applyFont="true" applyBorder="true" applyAlignment="true" applyProtection="false">
      <alignment horizontal="center" vertical="center" textRotation="0" wrapText="false" indent="0" shrinkToFit="false"/>
      <protection locked="true" hidden="false"/>
    </xf>
    <xf numFmtId="164" fontId="14" fillId="0" borderId="1" xfId="0" applyFont="true" applyBorder="true" applyAlignment="true" applyProtection="false">
      <alignment horizontal="center" vertical="center" textRotation="0" wrapText="false" indent="0" shrinkToFit="false"/>
      <protection locked="true" hidden="false"/>
    </xf>
    <xf numFmtId="171" fontId="15" fillId="0" borderId="1" xfId="0" applyFont="true" applyBorder="true" applyAlignment="true" applyProtection="false">
      <alignment horizontal="center" vertical="center" textRotation="0" wrapText="false" indent="0" shrinkToFit="false"/>
      <protection locked="true" hidden="false"/>
    </xf>
    <xf numFmtId="164" fontId="30" fillId="0" borderId="1" xfId="0" applyFont="true" applyBorder="true" applyAlignment="true" applyProtection="false">
      <alignment horizontal="center" vertical="center" textRotation="0" wrapText="false" indent="0" shrinkToFit="false"/>
      <protection locked="true" hidden="false"/>
    </xf>
    <xf numFmtId="164" fontId="43" fillId="0" borderId="1" xfId="0" applyFont="true" applyBorder="true" applyAlignment="true" applyProtection="false">
      <alignment horizontal="center" vertical="center" textRotation="0" wrapText="false" indent="0" shrinkToFit="false"/>
      <protection locked="true" hidden="false"/>
    </xf>
    <xf numFmtId="164" fontId="26" fillId="0" borderId="0" xfId="0" applyFont="true" applyBorder="true" applyAlignment="true" applyProtection="false">
      <alignment horizontal="general" vertical="center" textRotation="0" wrapText="false" indent="0" shrinkToFit="false"/>
      <protection locked="true" hidden="false"/>
    </xf>
    <xf numFmtId="164" fontId="44" fillId="0" borderId="0" xfId="0" applyFont="true" applyBorder="false" applyAlignment="true" applyProtection="false">
      <alignment horizontal="right" vertical="center" textRotation="0" wrapText="false" indent="0" shrinkToFit="false"/>
      <protection locked="true" hidden="false"/>
    </xf>
    <xf numFmtId="164" fontId="45" fillId="0" borderId="0" xfId="0" applyFont="true" applyBorder="false" applyAlignment="true" applyProtection="false">
      <alignment horizontal="general" vertical="center" textRotation="0" wrapText="false" indent="0" shrinkToFit="false"/>
      <protection locked="true" hidden="false"/>
    </xf>
    <xf numFmtId="164" fontId="46" fillId="0" borderId="0" xfId="0" applyFont="true" applyBorder="false" applyAlignment="true" applyProtection="false">
      <alignment horizontal="general" vertical="center" textRotation="0" wrapText="false" indent="0" shrinkToFit="false"/>
      <protection locked="true" hidden="false"/>
    </xf>
    <xf numFmtId="164" fontId="47" fillId="0" borderId="0" xfId="0" applyFont="true" applyBorder="false" applyAlignment="true" applyProtection="false">
      <alignment horizontal="general" vertical="center"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dxfs count="6">
    <dxf>
      <font>
        <name val="Arial"/>
        <charset val="1"/>
        <family val="0"/>
        <b val="1"/>
        <color rgb="FFA8271B"/>
        <sz val="8"/>
      </font>
    </dxf>
    <dxf>
      <font>
        <name val="Arial"/>
        <charset val="1"/>
        <family val="0"/>
        <b val="1"/>
        <color rgb="FFA8271B"/>
        <sz val="8"/>
      </font>
      <fill>
        <patternFill>
          <bgColor rgb="FFF9E4E1"/>
        </patternFill>
      </fill>
    </dxf>
    <dxf>
      <font>
        <name val="Arial"/>
        <charset val="1"/>
        <family val="0"/>
        <color rgb="FF8A9C00"/>
        <sz val="8"/>
      </font>
    </dxf>
    <dxf>
      <font>
        <name val="Arial"/>
        <charset val="1"/>
        <family val="0"/>
        <b val="1"/>
        <color rgb="FFA8271B"/>
        <sz val="8"/>
      </font>
      <fill>
        <patternFill>
          <bgColor rgb="FFF9E4E1"/>
        </patternFill>
      </fill>
    </dxf>
    <dxf>
      <font>
        <name val="Arial"/>
        <charset val="1"/>
        <family val="0"/>
        <b val="1"/>
        <color rgb="FF8A9C00"/>
        <sz val="8"/>
      </font>
    </dxf>
    <dxf>
      <fill>
        <patternFill>
          <bgColor rgb="FFF9E4E1"/>
        </patternFill>
      </fill>
    </dxf>
  </dxfs>
  <colors>
    <indexedColors>
      <rgbColor rgb="FF000000"/>
      <rgbColor rgb="FFFFFFFF"/>
      <rgbColor rgb="FFFF0000"/>
      <rgbColor rgb="FF00FF00"/>
      <rgbColor rgb="FF0000FF"/>
      <rgbColor rgb="FFFFFF00"/>
      <rgbColor rgb="FFFF00FF"/>
      <rgbColor rgb="FF00FFFF"/>
      <rgbColor rgb="FF800000"/>
      <rgbColor rgb="FF008000"/>
      <rgbColor rgb="FF000080"/>
      <rgbColor rgb="FF8A9C00"/>
      <rgbColor rgb="FF800080"/>
      <rgbColor rgb="FF008080"/>
      <rgbColor rgb="FFC7CDD1"/>
      <rgbColor rgb="FF808080"/>
      <rgbColor rgb="FF9999FF"/>
      <rgbColor rgb="FF993366"/>
      <rgbColor rgb="FFFFF7C4"/>
      <rgbColor rgb="FFCCFFFF"/>
      <rgbColor rgb="FF660066"/>
      <rgbColor rgb="FFFF8080"/>
      <rgbColor rgb="FF0066CC"/>
      <rgbColor rgb="FFC9CFD4"/>
      <rgbColor rgb="FF000080"/>
      <rgbColor rgb="FFFF00FF"/>
      <rgbColor rgb="FFFFFF00"/>
      <rgbColor rgb="FF00FFFF"/>
      <rgbColor rgb="FF800080"/>
      <rgbColor rgb="FF800000"/>
      <rgbColor rgb="FF008080"/>
      <rgbColor rgb="FF0000FF"/>
      <rgbColor rgb="FF00CCFF"/>
      <rgbColor rgb="FFCCFFFF"/>
      <rgbColor rgb="FFCCFFCC"/>
      <rgbColor rgb="FFF2F7CC"/>
      <rgbColor rgb="FF99CCFF"/>
      <rgbColor rgb="FFFF99CC"/>
      <rgbColor rgb="FFCC99FF"/>
      <rgbColor rgb="FFF9E4E1"/>
      <rgbColor rgb="FF3366FF"/>
      <rgbColor rgb="FF33CCCC"/>
      <rgbColor rgb="FFC3D600"/>
      <rgbColor rgb="FFFFCC00"/>
      <rgbColor rgb="FFFF9900"/>
      <rgbColor rgb="FFB26A00"/>
      <rgbColor rgb="FF5F6A73"/>
      <rgbColor rgb="FF9AA3AA"/>
      <rgbColor rgb="FF003366"/>
      <rgbColor rgb="FF339966"/>
      <rgbColor rgb="FF003300"/>
      <rgbColor rgb="FF1F2429"/>
      <rgbColor rgb="FFA8271B"/>
      <rgbColor rgb="FF993366"/>
      <rgbColor rgb="FF333399"/>
      <rgbColor rgb="FF343C44"/>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worksheet" Target="worksheets/sheet5.xml"/><Relationship Id="rId8" Type="http://schemas.openxmlformats.org/officeDocument/2006/relationships/worksheet" Target="worksheets/sheet6.xml"/><Relationship Id="rId9" Type="http://schemas.openxmlformats.org/officeDocument/2006/relationships/worksheet" Target="worksheets/sheet7.xml"/><Relationship Id="rId10" Type="http://schemas.openxmlformats.org/officeDocument/2006/relationships/worksheet" Target="worksheets/sheet8.xml"/><Relationship Id="rId11" Type="http://schemas.openxmlformats.org/officeDocument/2006/relationships/worksheet" Target="worksheets/sheet9.xml"/><Relationship Id="rId12" Type="http://schemas.openxmlformats.org/officeDocument/2006/relationships/worksheet" Target="worksheets/sheet10.xml"/><Relationship Id="rId13"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_rels/sheet2.xml.rels><?xml version="1.0" encoding="UTF-8"?>
<Relationships xmlns="http://schemas.openxmlformats.org/package/2006/relationships"><Relationship Id="rId1" Type="http://schemas.openxmlformats.org/officeDocument/2006/relationships/comments" Target="../comments2.xml"/><Relationship Id="rId2" Type="http://schemas.openxmlformats.org/officeDocument/2006/relationships/vmlDrawing" Target="../drawings/vmlDrawing1.v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F41"/>
  <sheetViews>
    <sheetView showFormulas="false" showGridLines="fals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3"/>
    <col collapsed="false" customWidth="true" hidden="false" outlineLevel="0" max="2" min="2" style="0" width="32"/>
    <col collapsed="false" customWidth="true" hidden="false" outlineLevel="0" max="5" min="3" style="0" width="30"/>
    <col collapsed="false" customWidth="true" hidden="false" outlineLevel="0" max="6" min="6" style="0" width="3"/>
  </cols>
  <sheetData>
    <row r="1" customFormat="false" ht="15" hidden="false" customHeight="false" outlineLevel="0" collapsed="false">
      <c r="A1" s="1"/>
      <c r="B1" s="1"/>
      <c r="C1" s="1"/>
      <c r="D1" s="1"/>
      <c r="E1" s="1"/>
      <c r="F1" s="1"/>
    </row>
    <row r="2" customFormat="false" ht="15" hidden="false" customHeight="false" outlineLevel="0" collapsed="false">
      <c r="A2" s="1"/>
      <c r="B2" s="1"/>
      <c r="C2" s="1"/>
      <c r="D2" s="1"/>
      <c r="E2" s="1"/>
      <c r="F2" s="1"/>
    </row>
    <row r="3" customFormat="false" ht="21.75" hidden="false" customHeight="true" outlineLevel="0" collapsed="false">
      <c r="A3" s="1"/>
      <c r="B3" s="2" t="s">
        <v>0</v>
      </c>
      <c r="C3" s="2"/>
      <c r="D3" s="2"/>
      <c r="E3" s="2"/>
      <c r="F3" s="1"/>
    </row>
    <row r="4" customFormat="false" ht="30" hidden="false" customHeight="true" outlineLevel="0" collapsed="false">
      <c r="A4" s="1"/>
      <c r="B4" s="3" t="s">
        <v>1</v>
      </c>
      <c r="C4" s="3"/>
      <c r="D4" s="3"/>
      <c r="E4" s="3"/>
      <c r="F4" s="1"/>
    </row>
    <row r="5" customFormat="false" ht="13.5" hidden="false" customHeight="true" outlineLevel="0" collapsed="false">
      <c r="A5" s="1"/>
      <c r="B5" s="3"/>
      <c r="C5" s="3"/>
      <c r="D5" s="3"/>
      <c r="E5" s="3"/>
      <c r="F5" s="1"/>
    </row>
    <row r="6" customFormat="false" ht="18" hidden="false" customHeight="true" outlineLevel="0" collapsed="false">
      <c r="A6" s="1"/>
      <c r="B6" s="4" t="s">
        <v>2</v>
      </c>
      <c r="C6" s="4"/>
      <c r="D6" s="4"/>
      <c r="E6" s="4"/>
      <c r="F6" s="1"/>
    </row>
    <row r="7" customFormat="false" ht="15.75" hidden="false" customHeight="true" outlineLevel="0" collapsed="false">
      <c r="A7" s="1"/>
      <c r="B7" s="5" t="s">
        <v>3</v>
      </c>
      <c r="C7" s="5"/>
      <c r="D7" s="5"/>
      <c r="E7" s="5"/>
      <c r="F7" s="1"/>
    </row>
    <row r="8" customFormat="false" ht="9.75" hidden="false" customHeight="true" outlineLevel="0" collapsed="false">
      <c r="A8" s="1"/>
      <c r="B8" s="1"/>
      <c r="C8" s="1"/>
      <c r="D8" s="1"/>
      <c r="E8" s="1"/>
      <c r="F8" s="1"/>
    </row>
    <row r="10" customFormat="false" ht="15" hidden="false" customHeight="false" outlineLevel="0" collapsed="false">
      <c r="B10" s="6" t="s">
        <v>4</v>
      </c>
      <c r="C10" s="7" t="s">
        <v>5</v>
      </c>
      <c r="D10" s="6" t="s">
        <v>6</v>
      </c>
      <c r="E10" s="8" t="s">
        <v>7</v>
      </c>
    </row>
    <row r="12" customFormat="false" ht="16.5" hidden="false" customHeight="true" outlineLevel="0" collapsed="false">
      <c r="B12" s="9" t="s">
        <v>8</v>
      </c>
      <c r="C12" s="9"/>
      <c r="D12" s="9"/>
      <c r="E12" s="9"/>
    </row>
    <row r="13" customFormat="false" ht="63.75" hidden="false" customHeight="true" outlineLevel="0" collapsed="false">
      <c r="B13" s="10" t="s">
        <v>9</v>
      </c>
      <c r="C13" s="10"/>
      <c r="D13" s="10"/>
      <c r="E13" s="10"/>
    </row>
    <row r="15" customFormat="false" ht="16.5" hidden="false" customHeight="true" outlineLevel="0" collapsed="false">
      <c r="B15" s="9" t="s">
        <v>10</v>
      </c>
      <c r="C15" s="9"/>
      <c r="D15" s="9"/>
      <c r="E15" s="9"/>
    </row>
    <row r="16" customFormat="false" ht="18" hidden="false" customHeight="true" outlineLevel="0" collapsed="false">
      <c r="B16" s="11"/>
      <c r="C16" s="11" t="s">
        <v>11</v>
      </c>
      <c r="D16" s="11" t="s">
        <v>12</v>
      </c>
      <c r="E16" s="11"/>
    </row>
    <row r="17" customFormat="false" ht="51.75" hidden="false" customHeight="true" outlineLevel="0" collapsed="false">
      <c r="B17" s="12" t="s">
        <v>13</v>
      </c>
      <c r="C17" s="13" t="s">
        <v>14</v>
      </c>
      <c r="D17" s="13"/>
      <c r="E17" s="14" t="s">
        <v>15</v>
      </c>
    </row>
    <row r="18" customFormat="false" ht="18.75" hidden="false" customHeight="true" outlineLevel="0" collapsed="false">
      <c r="B18" s="12" t="s">
        <v>16</v>
      </c>
      <c r="C18" s="13" t="s">
        <v>17</v>
      </c>
      <c r="D18" s="13"/>
      <c r="E18" s="14" t="s">
        <v>18</v>
      </c>
    </row>
    <row r="19" customFormat="false" ht="18.75" hidden="false" customHeight="true" outlineLevel="0" collapsed="false">
      <c r="B19" s="12" t="s">
        <v>19</v>
      </c>
      <c r="C19" s="13" t="s">
        <v>20</v>
      </c>
      <c r="D19" s="13"/>
      <c r="E19" s="14" t="s">
        <v>21</v>
      </c>
    </row>
    <row r="20" customFormat="false" ht="30" hidden="false" customHeight="true" outlineLevel="0" collapsed="false">
      <c r="B20" s="12" t="s">
        <v>22</v>
      </c>
      <c r="C20" s="13" t="s">
        <v>23</v>
      </c>
      <c r="D20" s="13"/>
      <c r="E20" s="14" t="s">
        <v>24</v>
      </c>
    </row>
    <row r="21" customFormat="false" ht="30" hidden="false" customHeight="true" outlineLevel="0" collapsed="false">
      <c r="B21" s="12" t="s">
        <v>25</v>
      </c>
      <c r="C21" s="13" t="s">
        <v>26</v>
      </c>
      <c r="D21" s="13"/>
      <c r="E21" s="14" t="s">
        <v>27</v>
      </c>
    </row>
    <row r="22" customFormat="false" ht="40.5" hidden="false" customHeight="true" outlineLevel="0" collapsed="false">
      <c r="B22" s="12" t="s">
        <v>28</v>
      </c>
      <c r="C22" s="13" t="s">
        <v>29</v>
      </c>
      <c r="D22" s="13"/>
      <c r="E22" s="14" t="s">
        <v>30</v>
      </c>
    </row>
    <row r="23" customFormat="false" ht="40.5" hidden="false" customHeight="true" outlineLevel="0" collapsed="false">
      <c r="B23" s="12" t="s">
        <v>31</v>
      </c>
      <c r="C23" s="13" t="s">
        <v>32</v>
      </c>
      <c r="D23" s="13"/>
      <c r="E23" s="14" t="s">
        <v>33</v>
      </c>
    </row>
    <row r="24" customFormat="false" ht="30" hidden="false" customHeight="true" outlineLevel="0" collapsed="false">
      <c r="B24" s="12" t="s">
        <v>34</v>
      </c>
      <c r="C24" s="13" t="s">
        <v>35</v>
      </c>
      <c r="D24" s="13"/>
      <c r="E24" s="14" t="s">
        <v>36</v>
      </c>
    </row>
    <row r="25" customFormat="false" ht="40.5" hidden="false" customHeight="true" outlineLevel="0" collapsed="false">
      <c r="B25" s="12" t="s">
        <v>37</v>
      </c>
      <c r="C25" s="13" t="s">
        <v>38</v>
      </c>
      <c r="D25" s="13"/>
      <c r="E25" s="14" t="s">
        <v>39</v>
      </c>
    </row>
    <row r="27" customFormat="false" ht="16.5" hidden="false" customHeight="true" outlineLevel="0" collapsed="false">
      <c r="B27" s="9" t="s">
        <v>40</v>
      </c>
      <c r="C27" s="9"/>
      <c r="D27" s="9"/>
      <c r="E27" s="9"/>
    </row>
    <row r="28" customFormat="false" ht="40.5" hidden="false" customHeight="true" outlineLevel="0" collapsed="false">
      <c r="B28" s="15" t="s">
        <v>41</v>
      </c>
      <c r="C28" s="13" t="s">
        <v>42</v>
      </c>
      <c r="D28" s="13"/>
      <c r="E28" s="13"/>
    </row>
    <row r="29" customFormat="false" ht="40.5" hidden="false" customHeight="true" outlineLevel="0" collapsed="false">
      <c r="B29" s="15" t="s">
        <v>43</v>
      </c>
      <c r="C29" s="13" t="s">
        <v>44</v>
      </c>
      <c r="D29" s="13"/>
      <c r="E29" s="13"/>
    </row>
    <row r="30" customFormat="false" ht="40.5" hidden="false" customHeight="true" outlineLevel="0" collapsed="false">
      <c r="B30" s="15" t="s">
        <v>45</v>
      </c>
      <c r="C30" s="13" t="s">
        <v>46</v>
      </c>
      <c r="D30" s="13"/>
      <c r="E30" s="13"/>
    </row>
    <row r="31" customFormat="false" ht="40.5" hidden="false" customHeight="true" outlineLevel="0" collapsed="false">
      <c r="B31" s="15" t="s">
        <v>47</v>
      </c>
      <c r="C31" s="13" t="s">
        <v>48</v>
      </c>
      <c r="D31" s="13"/>
      <c r="E31" s="13"/>
    </row>
    <row r="32" customFormat="false" ht="30" hidden="false" customHeight="true" outlineLevel="0" collapsed="false">
      <c r="B32" s="15" t="s">
        <v>49</v>
      </c>
      <c r="C32" s="13" t="s">
        <v>50</v>
      </c>
      <c r="D32" s="13"/>
      <c r="E32" s="13"/>
    </row>
    <row r="33" customFormat="false" ht="40.5" hidden="false" customHeight="true" outlineLevel="0" collapsed="false">
      <c r="B33" s="15" t="s">
        <v>51</v>
      </c>
      <c r="C33" s="13" t="s">
        <v>52</v>
      </c>
      <c r="D33" s="13"/>
      <c r="E33" s="13"/>
    </row>
    <row r="35" customFormat="false" ht="16.5" hidden="false" customHeight="true" outlineLevel="0" collapsed="false">
      <c r="B35" s="9" t="s">
        <v>53</v>
      </c>
      <c r="C35" s="9"/>
      <c r="D35" s="9"/>
      <c r="E35" s="9"/>
    </row>
    <row r="36" customFormat="false" ht="40.5" hidden="false" customHeight="true" outlineLevel="0" collapsed="false">
      <c r="B36" s="16" t="s">
        <v>54</v>
      </c>
      <c r="C36" s="13" t="s">
        <v>55</v>
      </c>
      <c r="D36" s="13"/>
      <c r="E36" s="13"/>
    </row>
    <row r="37" customFormat="false" ht="30" hidden="false" customHeight="true" outlineLevel="0" collapsed="false">
      <c r="B37" s="16" t="s">
        <v>56</v>
      </c>
      <c r="C37" s="13" t="s">
        <v>57</v>
      </c>
      <c r="D37" s="13"/>
      <c r="E37" s="13"/>
    </row>
    <row r="38" customFormat="false" ht="18.75" hidden="false" customHeight="true" outlineLevel="0" collapsed="false">
      <c r="B38" s="16" t="s">
        <v>58</v>
      </c>
      <c r="C38" s="13" t="s">
        <v>59</v>
      </c>
      <c r="D38" s="13"/>
      <c r="E38" s="13"/>
    </row>
    <row r="39" customFormat="false" ht="30" hidden="false" customHeight="true" outlineLevel="0" collapsed="false">
      <c r="B39" s="16" t="s">
        <v>60</v>
      </c>
      <c r="C39" s="13" t="s">
        <v>61</v>
      </c>
      <c r="D39" s="13"/>
      <c r="E39" s="13"/>
    </row>
    <row r="41" customFormat="false" ht="51.75" hidden="false" customHeight="true" outlineLevel="0" collapsed="false">
      <c r="B41" s="17" t="s">
        <v>62</v>
      </c>
      <c r="C41" s="17"/>
      <c r="D41" s="17"/>
      <c r="E41" s="17"/>
    </row>
  </sheetData>
  <mergeCells count="29">
    <mergeCell ref="B3:E3"/>
    <mergeCell ref="B4:E5"/>
    <mergeCell ref="B6:E6"/>
    <mergeCell ref="B7:E7"/>
    <mergeCell ref="B12:E12"/>
    <mergeCell ref="B13:E13"/>
    <mergeCell ref="B15:E15"/>
    <mergeCell ref="C17:D17"/>
    <mergeCell ref="C18:D18"/>
    <mergeCell ref="C19:D19"/>
    <mergeCell ref="C20:D20"/>
    <mergeCell ref="C21:D21"/>
    <mergeCell ref="C22:D22"/>
    <mergeCell ref="C23:D23"/>
    <mergeCell ref="C24:D24"/>
    <mergeCell ref="C25:D25"/>
    <mergeCell ref="B27:E27"/>
    <mergeCell ref="C28:E28"/>
    <mergeCell ref="C29:E29"/>
    <mergeCell ref="C30:E30"/>
    <mergeCell ref="C31:E31"/>
    <mergeCell ref="C32:E32"/>
    <mergeCell ref="C33:E33"/>
    <mergeCell ref="B35:E35"/>
    <mergeCell ref="C36:E36"/>
    <mergeCell ref="C37:E37"/>
    <mergeCell ref="C38:E38"/>
    <mergeCell ref="C39:E39"/>
    <mergeCell ref="B41:E41"/>
  </mergeCells>
  <printOptions headings="false" gridLines="false" gridLinesSet="true" horizontalCentered="false" verticalCentered="false"/>
  <pageMargins left="0.3" right="0.3" top="1" bottom="1" header="0.5" footer="0.5"/>
  <pageSetup paperSize="9" scale="100" fitToWidth="1" fitToHeight="0" pageOrder="downThenOver" orientation="portrait" blackAndWhite="false" draft="false" cellComments="none" horizontalDpi="300" verticalDpi="300" copies="1"/>
  <headerFooter differentFirst="false" differentOddEven="false">
    <oddHeader>&amp;L&amp;"Arial,Bold"&amp;9Halcyon Metalworks Kft.&amp;R&amp;"Arial,Regular"&amp;9Cost centre reporting tool v2.4</oddHeader>
    <oddFooter>&amp;L&amp;"Arial,Regular"&amp;8Illustrative sample, fictional data - prepared by Tarlan Charkasov, ACCA&amp;R&amp;"Arial,Regular"&amp;8Page &amp;P of &amp;N</oddFoot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B814"/>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8"/>
    <col collapsed="false" customWidth="true" hidden="false" outlineLevel="0" max="2" min="2" style="0" width="132"/>
  </cols>
  <sheetData>
    <row r="1" customFormat="false" ht="24" hidden="false" customHeight="true" outlineLevel="0" collapsed="false">
      <c r="A1" s="18" t="s">
        <v>993</v>
      </c>
      <c r="B1" s="18"/>
    </row>
    <row r="2" customFormat="false" ht="15" hidden="false" customHeight="true" outlineLevel="0" collapsed="false">
      <c r="A2" s="19" t="s">
        <v>994</v>
      </c>
      <c r="B2" s="19"/>
    </row>
    <row r="4" customFormat="false" ht="10.5" hidden="false" customHeight="true" outlineLevel="0" collapsed="false">
      <c r="A4" s="100" t="n">
        <v>1</v>
      </c>
      <c r="B4" s="101" t="s">
        <v>995</v>
      </c>
    </row>
    <row r="5" customFormat="false" ht="10.5" hidden="false" customHeight="true" outlineLevel="0" collapsed="false">
      <c r="A5" s="100" t="n">
        <v>2</v>
      </c>
      <c r="B5" s="102" t="s">
        <v>996</v>
      </c>
    </row>
    <row r="6" customFormat="false" ht="10.5" hidden="false" customHeight="true" outlineLevel="0" collapsed="false">
      <c r="A6" s="100" t="n">
        <v>3</v>
      </c>
      <c r="B6" s="102" t="s">
        <v>997</v>
      </c>
    </row>
    <row r="7" customFormat="false" ht="10.5" hidden="false" customHeight="true" outlineLevel="0" collapsed="false">
      <c r="A7" s="100" t="n">
        <v>4</v>
      </c>
      <c r="B7" s="102" t="s">
        <v>998</v>
      </c>
    </row>
    <row r="8" customFormat="false" ht="10.5" hidden="false" customHeight="true" outlineLevel="0" collapsed="false">
      <c r="A8" s="100" t="n">
        <v>5</v>
      </c>
      <c r="B8" s="102" t="s">
        <v>999</v>
      </c>
    </row>
    <row r="9" customFormat="false" ht="10.5" hidden="false" customHeight="true" outlineLevel="0" collapsed="false">
      <c r="A9" s="100" t="n">
        <v>6</v>
      </c>
      <c r="B9" s="102" t="s">
        <v>1000</v>
      </c>
    </row>
    <row r="10" customFormat="false" ht="10.5" hidden="false" customHeight="true" outlineLevel="0" collapsed="false">
      <c r="A10" s="100" t="n">
        <v>7</v>
      </c>
      <c r="B10" s="102" t="s">
        <v>1001</v>
      </c>
    </row>
    <row r="11" customFormat="false" ht="10.5" hidden="false" customHeight="true" outlineLevel="0" collapsed="false">
      <c r="A11" s="100" t="n">
        <v>8</v>
      </c>
      <c r="B11" s="102" t="s">
        <v>1002</v>
      </c>
    </row>
    <row r="12" customFormat="false" ht="10.5" hidden="false" customHeight="true" outlineLevel="0" collapsed="false">
      <c r="A12" s="100" t="n">
        <v>9</v>
      </c>
      <c r="B12" s="102" t="s">
        <v>1003</v>
      </c>
    </row>
    <row r="13" customFormat="false" ht="10.5" hidden="false" customHeight="true" outlineLevel="0" collapsed="false">
      <c r="A13" s="100" t="n">
        <v>10</v>
      </c>
      <c r="B13" s="102" t="s">
        <v>1004</v>
      </c>
    </row>
    <row r="14" customFormat="false" ht="10.5" hidden="false" customHeight="true" outlineLevel="0" collapsed="false">
      <c r="A14" s="100" t="n">
        <v>11</v>
      </c>
      <c r="B14" s="102" t="s">
        <v>999</v>
      </c>
    </row>
    <row r="15" customFormat="false" ht="10.5" hidden="false" customHeight="true" outlineLevel="0" collapsed="false">
      <c r="A15" s="100" t="n">
        <v>12</v>
      </c>
      <c r="B15" s="102" t="s">
        <v>1005</v>
      </c>
    </row>
    <row r="16" customFormat="false" ht="10.5" hidden="false" customHeight="true" outlineLevel="0" collapsed="false">
      <c r="A16" s="100" t="n">
        <v>13</v>
      </c>
      <c r="B16" s="102" t="s">
        <v>1006</v>
      </c>
    </row>
    <row r="17" customFormat="false" ht="10.5" hidden="false" customHeight="true" outlineLevel="0" collapsed="false">
      <c r="A17" s="100" t="n">
        <v>14</v>
      </c>
      <c r="B17" s="102" t="s">
        <v>1007</v>
      </c>
    </row>
    <row r="18" customFormat="false" ht="10.5" hidden="false" customHeight="true" outlineLevel="0" collapsed="false">
      <c r="A18" s="100" t="n">
        <v>15</v>
      </c>
      <c r="B18" s="102" t="s">
        <v>1008</v>
      </c>
    </row>
    <row r="19" customFormat="false" ht="10.5" hidden="false" customHeight="true" outlineLevel="0" collapsed="false">
      <c r="A19" s="100" t="n">
        <v>16</v>
      </c>
      <c r="B19" s="102" t="s">
        <v>1009</v>
      </c>
    </row>
    <row r="20" customFormat="false" ht="10.5" hidden="false" customHeight="true" outlineLevel="0" collapsed="false">
      <c r="A20" s="100" t="n">
        <v>17</v>
      </c>
      <c r="B20" s="102" t="s">
        <v>1010</v>
      </c>
    </row>
    <row r="21" customFormat="false" ht="10.5" hidden="false" customHeight="true" outlineLevel="0" collapsed="false">
      <c r="A21" s="100" t="n">
        <v>18</v>
      </c>
      <c r="B21" s="102" t="s">
        <v>1011</v>
      </c>
    </row>
    <row r="22" customFormat="false" ht="10.5" hidden="false" customHeight="true" outlineLevel="0" collapsed="false">
      <c r="A22" s="100" t="n">
        <v>19</v>
      </c>
      <c r="B22" s="102" t="s">
        <v>1012</v>
      </c>
    </row>
    <row r="23" customFormat="false" ht="10.5" hidden="false" customHeight="true" outlineLevel="0" collapsed="false">
      <c r="A23" s="100" t="n">
        <v>20</v>
      </c>
      <c r="B23" s="102" t="s">
        <v>1013</v>
      </c>
    </row>
    <row r="24" customFormat="false" ht="10.5" hidden="false" customHeight="true" outlineLevel="0" collapsed="false">
      <c r="A24" s="100" t="n">
        <v>21</v>
      </c>
      <c r="B24" s="102" t="s">
        <v>1014</v>
      </c>
    </row>
    <row r="25" customFormat="false" ht="10.5" hidden="false" customHeight="true" outlineLevel="0" collapsed="false">
      <c r="A25" s="100" t="n">
        <v>22</v>
      </c>
      <c r="B25" s="102" t="s">
        <v>1015</v>
      </c>
    </row>
    <row r="26" customFormat="false" ht="10.5" hidden="false" customHeight="true" outlineLevel="0" collapsed="false">
      <c r="A26" s="100" t="n">
        <v>23</v>
      </c>
      <c r="B26" s="101" t="s">
        <v>995</v>
      </c>
    </row>
    <row r="27" customFormat="false" ht="10.5" hidden="false" customHeight="true" outlineLevel="0" collapsed="false">
      <c r="A27" s="100" t="n">
        <v>24</v>
      </c>
      <c r="B27" s="103"/>
    </row>
    <row r="28" customFormat="false" ht="10.5" hidden="false" customHeight="true" outlineLevel="0" collapsed="false">
      <c r="A28" s="100" t="n">
        <v>25</v>
      </c>
      <c r="B28" s="103"/>
    </row>
    <row r="29" customFormat="false" ht="10.5" hidden="false" customHeight="true" outlineLevel="0" collapsed="false">
      <c r="A29" s="100" t="n">
        <v>26</v>
      </c>
      <c r="B29" s="101" t="s">
        <v>1016</v>
      </c>
    </row>
    <row r="30" customFormat="false" ht="10.5" hidden="false" customHeight="true" outlineLevel="0" collapsed="false">
      <c r="A30" s="100" t="n">
        <v>27</v>
      </c>
      <c r="B30" s="103" t="s">
        <v>1017</v>
      </c>
    </row>
    <row r="31" customFormat="false" ht="10.5" hidden="false" customHeight="true" outlineLevel="0" collapsed="false">
      <c r="A31" s="100" t="n">
        <v>28</v>
      </c>
      <c r="B31" s="103"/>
    </row>
    <row r="32" customFormat="false" ht="10.5" hidden="false" customHeight="true" outlineLevel="0" collapsed="false">
      <c r="A32" s="100" t="n">
        <v>29</v>
      </c>
      <c r="B32" s="103" t="s">
        <v>1018</v>
      </c>
    </row>
    <row r="33" customFormat="false" ht="10.5" hidden="false" customHeight="true" outlineLevel="0" collapsed="false">
      <c r="A33" s="100" t="n">
        <v>30</v>
      </c>
      <c r="B33" s="103" t="s">
        <v>1019</v>
      </c>
    </row>
    <row r="34" customFormat="false" ht="10.5" hidden="false" customHeight="true" outlineLevel="0" collapsed="false">
      <c r="A34" s="100" t="n">
        <v>31</v>
      </c>
      <c r="B34" s="103"/>
    </row>
    <row r="35" customFormat="false" ht="10.5" hidden="false" customHeight="true" outlineLevel="0" collapsed="false">
      <c r="A35" s="100" t="n">
        <v>32</v>
      </c>
      <c r="B35" s="102" t="s">
        <v>1020</v>
      </c>
    </row>
    <row r="36" customFormat="false" ht="10.5" hidden="false" customHeight="true" outlineLevel="0" collapsed="false">
      <c r="A36" s="100" t="n">
        <v>33</v>
      </c>
      <c r="B36" s="103" t="s">
        <v>1021</v>
      </c>
    </row>
    <row r="37" customFormat="false" ht="10.5" hidden="false" customHeight="true" outlineLevel="0" collapsed="false">
      <c r="A37" s="100" t="n">
        <v>34</v>
      </c>
      <c r="B37" s="103" t="s">
        <v>1022</v>
      </c>
    </row>
    <row r="38" customFormat="false" ht="10.5" hidden="false" customHeight="true" outlineLevel="0" collapsed="false">
      <c r="A38" s="100" t="n">
        <v>35</v>
      </c>
      <c r="B38" s="103" t="s">
        <v>1023</v>
      </c>
    </row>
    <row r="39" customFormat="false" ht="10.5" hidden="false" customHeight="true" outlineLevel="0" collapsed="false">
      <c r="A39" s="100" t="n">
        <v>36</v>
      </c>
      <c r="B39" s="103" t="s">
        <v>1024</v>
      </c>
    </row>
    <row r="40" customFormat="false" ht="10.5" hidden="false" customHeight="true" outlineLevel="0" collapsed="false">
      <c r="A40" s="100" t="n">
        <v>37</v>
      </c>
      <c r="B40" s="103" t="s">
        <v>1025</v>
      </c>
    </row>
    <row r="41" customFormat="false" ht="10.5" hidden="false" customHeight="true" outlineLevel="0" collapsed="false">
      <c r="A41" s="100" t="n">
        <v>38</v>
      </c>
      <c r="B41" s="103" t="s">
        <v>1026</v>
      </c>
    </row>
    <row r="42" customFormat="false" ht="10.5" hidden="false" customHeight="true" outlineLevel="0" collapsed="false">
      <c r="A42" s="100" t="n">
        <v>39</v>
      </c>
      <c r="B42" s="103" t="s">
        <v>1027</v>
      </c>
    </row>
    <row r="43" customFormat="false" ht="10.5" hidden="false" customHeight="true" outlineLevel="0" collapsed="false">
      <c r="A43" s="100" t="n">
        <v>40</v>
      </c>
      <c r="B43" s="103" t="s">
        <v>1028</v>
      </c>
    </row>
    <row r="44" customFormat="false" ht="10.5" hidden="false" customHeight="true" outlineLevel="0" collapsed="false">
      <c r="A44" s="100" t="n">
        <v>41</v>
      </c>
      <c r="B44" s="103"/>
    </row>
    <row r="45" customFormat="false" ht="10.5" hidden="false" customHeight="true" outlineLevel="0" collapsed="false">
      <c r="A45" s="100" t="n">
        <v>42</v>
      </c>
      <c r="B45" s="102" t="s">
        <v>1029</v>
      </c>
    </row>
    <row r="46" customFormat="false" ht="10.5" hidden="false" customHeight="true" outlineLevel="0" collapsed="false">
      <c r="A46" s="100" t="n">
        <v>43</v>
      </c>
      <c r="B46" s="103" t="s">
        <v>1030</v>
      </c>
    </row>
    <row r="47" customFormat="false" ht="10.5" hidden="false" customHeight="true" outlineLevel="0" collapsed="false">
      <c r="A47" s="100" t="n">
        <v>44</v>
      </c>
      <c r="B47" s="103" t="s">
        <v>1031</v>
      </c>
    </row>
    <row r="48" customFormat="false" ht="10.5" hidden="false" customHeight="true" outlineLevel="0" collapsed="false">
      <c r="A48" s="100" t="n">
        <v>45</v>
      </c>
      <c r="B48" s="103" t="s">
        <v>1032</v>
      </c>
    </row>
    <row r="49" customFormat="false" ht="10.5" hidden="false" customHeight="true" outlineLevel="0" collapsed="false">
      <c r="A49" s="100" t="n">
        <v>46</v>
      </c>
      <c r="B49" s="103" t="s">
        <v>1033</v>
      </c>
    </row>
    <row r="50" customFormat="false" ht="10.5" hidden="false" customHeight="true" outlineLevel="0" collapsed="false">
      <c r="A50" s="100" t="n">
        <v>47</v>
      </c>
      <c r="B50" s="103" t="s">
        <v>1034</v>
      </c>
    </row>
    <row r="51" customFormat="false" ht="10.5" hidden="false" customHeight="true" outlineLevel="0" collapsed="false">
      <c r="A51" s="100" t="n">
        <v>48</v>
      </c>
      <c r="B51" s="103" t="s">
        <v>1035</v>
      </c>
    </row>
    <row r="52" customFormat="false" ht="10.5" hidden="false" customHeight="true" outlineLevel="0" collapsed="false">
      <c r="A52" s="100" t="n">
        <v>49</v>
      </c>
      <c r="B52" s="103" t="s">
        <v>1036</v>
      </c>
    </row>
    <row r="53" customFormat="false" ht="10.5" hidden="false" customHeight="true" outlineLevel="0" collapsed="false">
      <c r="A53" s="100" t="n">
        <v>50</v>
      </c>
      <c r="B53" s="103"/>
    </row>
    <row r="54" customFormat="false" ht="10.5" hidden="false" customHeight="true" outlineLevel="0" collapsed="false">
      <c r="A54" s="100" t="n">
        <v>51</v>
      </c>
      <c r="B54" s="103" t="s">
        <v>1037</v>
      </c>
    </row>
    <row r="55" customFormat="false" ht="10.5" hidden="false" customHeight="true" outlineLevel="0" collapsed="false">
      <c r="A55" s="100" t="n">
        <v>52</v>
      </c>
      <c r="B55" s="103" t="s">
        <v>1038</v>
      </c>
    </row>
    <row r="56" customFormat="false" ht="10.5" hidden="false" customHeight="true" outlineLevel="0" collapsed="false">
      <c r="A56" s="100" t="n">
        <v>53</v>
      </c>
      <c r="B56" s="103"/>
    </row>
    <row r="57" customFormat="false" ht="10.5" hidden="false" customHeight="true" outlineLevel="0" collapsed="false">
      <c r="A57" s="100" t="n">
        <v>54</v>
      </c>
      <c r="B57" s="102" t="s">
        <v>1039</v>
      </c>
    </row>
    <row r="58" customFormat="false" ht="10.5" hidden="false" customHeight="true" outlineLevel="0" collapsed="false">
      <c r="A58" s="100" t="n">
        <v>55</v>
      </c>
      <c r="B58" s="102" t="s">
        <v>1040</v>
      </c>
    </row>
    <row r="59" customFormat="false" ht="10.5" hidden="false" customHeight="true" outlineLevel="0" collapsed="false">
      <c r="A59" s="100" t="n">
        <v>56</v>
      </c>
      <c r="B59" s="102" t="s">
        <v>1041</v>
      </c>
    </row>
    <row r="60" customFormat="false" ht="10.5" hidden="false" customHeight="true" outlineLevel="0" collapsed="false">
      <c r="A60" s="100" t="n">
        <v>57</v>
      </c>
      <c r="B60" s="102" t="s">
        <v>1039</v>
      </c>
    </row>
    <row r="61" customFormat="false" ht="10.5" hidden="false" customHeight="true" outlineLevel="0" collapsed="false">
      <c r="A61" s="100" t="n">
        <v>58</v>
      </c>
      <c r="B61" s="103" t="s">
        <v>1042</v>
      </c>
    </row>
    <row r="62" customFormat="false" ht="10.5" hidden="false" customHeight="true" outlineLevel="0" collapsed="false">
      <c r="A62" s="100" t="n">
        <v>59</v>
      </c>
      <c r="B62" s="103"/>
    </row>
    <row r="63" customFormat="false" ht="10.5" hidden="false" customHeight="true" outlineLevel="0" collapsed="false">
      <c r="A63" s="100" t="n">
        <v>60</v>
      </c>
      <c r="B63" s="103" t="s">
        <v>1043</v>
      </c>
    </row>
    <row r="64" customFormat="false" ht="10.5" hidden="false" customHeight="true" outlineLevel="0" collapsed="false">
      <c r="A64" s="100" t="n">
        <v>61</v>
      </c>
      <c r="B64" s="103" t="s">
        <v>1044</v>
      </c>
    </row>
    <row r="65" customFormat="false" ht="10.5" hidden="false" customHeight="true" outlineLevel="0" collapsed="false">
      <c r="A65" s="100" t="n">
        <v>62</v>
      </c>
      <c r="B65" s="103" t="s">
        <v>1045</v>
      </c>
    </row>
    <row r="66" customFormat="false" ht="10.5" hidden="false" customHeight="true" outlineLevel="0" collapsed="false">
      <c r="A66" s="100" t="n">
        <v>63</v>
      </c>
      <c r="B66" s="103" t="s">
        <v>1046</v>
      </c>
    </row>
    <row r="67" customFormat="false" ht="10.5" hidden="false" customHeight="true" outlineLevel="0" collapsed="false">
      <c r="A67" s="100" t="n">
        <v>64</v>
      </c>
      <c r="B67" s="103"/>
    </row>
    <row r="68" customFormat="false" ht="10.5" hidden="false" customHeight="true" outlineLevel="0" collapsed="false">
      <c r="A68" s="100" t="n">
        <v>65</v>
      </c>
      <c r="B68" s="103" t="s">
        <v>1047</v>
      </c>
    </row>
    <row r="69" customFormat="false" ht="10.5" hidden="false" customHeight="true" outlineLevel="0" collapsed="false">
      <c r="A69" s="100" t="n">
        <v>66</v>
      </c>
      <c r="B69" s="103" t="s">
        <v>1048</v>
      </c>
    </row>
    <row r="70" customFormat="false" ht="10.5" hidden="false" customHeight="true" outlineLevel="0" collapsed="false">
      <c r="A70" s="100" t="n">
        <v>67</v>
      </c>
      <c r="B70" s="103"/>
    </row>
    <row r="71" customFormat="false" ht="10.5" hidden="false" customHeight="true" outlineLevel="0" collapsed="false">
      <c r="A71" s="100" t="n">
        <v>68</v>
      </c>
      <c r="B71" s="103" t="s">
        <v>1049</v>
      </c>
    </row>
    <row r="72" customFormat="false" ht="10.5" hidden="false" customHeight="true" outlineLevel="0" collapsed="false">
      <c r="A72" s="100" t="n">
        <v>69</v>
      </c>
      <c r="B72" s="103" t="s">
        <v>1050</v>
      </c>
    </row>
    <row r="73" customFormat="false" ht="10.5" hidden="false" customHeight="true" outlineLevel="0" collapsed="false">
      <c r="A73" s="100" t="n">
        <v>70</v>
      </c>
      <c r="B73" s="103"/>
    </row>
    <row r="74" customFormat="false" ht="10.5" hidden="false" customHeight="true" outlineLevel="0" collapsed="false">
      <c r="A74" s="100" t="n">
        <v>71</v>
      </c>
      <c r="B74" s="103" t="s">
        <v>1051</v>
      </c>
    </row>
    <row r="75" customFormat="false" ht="10.5" hidden="false" customHeight="true" outlineLevel="0" collapsed="false">
      <c r="A75" s="100" t="n">
        <v>72</v>
      </c>
      <c r="B75" s="103" t="s">
        <v>1052</v>
      </c>
    </row>
    <row r="76" customFormat="false" ht="10.5" hidden="false" customHeight="true" outlineLevel="0" collapsed="false">
      <c r="A76" s="100" t="n">
        <v>73</v>
      </c>
      <c r="B76" s="103"/>
    </row>
    <row r="77" customFormat="false" ht="10.5" hidden="false" customHeight="true" outlineLevel="0" collapsed="false">
      <c r="A77" s="100" t="n">
        <v>74</v>
      </c>
      <c r="B77" s="103" t="s">
        <v>1053</v>
      </c>
    </row>
    <row r="78" customFormat="false" ht="10.5" hidden="false" customHeight="true" outlineLevel="0" collapsed="false">
      <c r="A78" s="100" t="n">
        <v>75</v>
      </c>
      <c r="B78" s="103" t="s">
        <v>1054</v>
      </c>
    </row>
    <row r="79" customFormat="false" ht="10.5" hidden="false" customHeight="true" outlineLevel="0" collapsed="false">
      <c r="A79" s="100" t="n">
        <v>76</v>
      </c>
      <c r="B79" s="103"/>
    </row>
    <row r="80" customFormat="false" ht="10.5" hidden="false" customHeight="true" outlineLevel="0" collapsed="false">
      <c r="A80" s="100" t="n">
        <v>77</v>
      </c>
      <c r="B80" s="103" t="s">
        <v>1055</v>
      </c>
    </row>
    <row r="81" customFormat="false" ht="10.5" hidden="false" customHeight="true" outlineLevel="0" collapsed="false">
      <c r="A81" s="100" t="n">
        <v>78</v>
      </c>
      <c r="B81" s="103" t="s">
        <v>1056</v>
      </c>
    </row>
    <row r="82" customFormat="false" ht="10.5" hidden="false" customHeight="true" outlineLevel="0" collapsed="false">
      <c r="A82" s="100" t="n">
        <v>79</v>
      </c>
      <c r="B82" s="103" t="s">
        <v>1057</v>
      </c>
    </row>
    <row r="83" customFormat="false" ht="10.5" hidden="false" customHeight="true" outlineLevel="0" collapsed="false">
      <c r="A83" s="100" t="n">
        <v>80</v>
      </c>
      <c r="B83" s="103"/>
    </row>
    <row r="84" customFormat="false" ht="10.5" hidden="false" customHeight="true" outlineLevel="0" collapsed="false">
      <c r="A84" s="100" t="n">
        <v>81</v>
      </c>
      <c r="B84" s="103" t="s">
        <v>1058</v>
      </c>
    </row>
    <row r="85" customFormat="false" ht="10.5" hidden="false" customHeight="true" outlineLevel="0" collapsed="false">
      <c r="A85" s="100" t="n">
        <v>82</v>
      </c>
      <c r="B85" s="103" t="s">
        <v>1059</v>
      </c>
    </row>
    <row r="86" customFormat="false" ht="10.5" hidden="false" customHeight="true" outlineLevel="0" collapsed="false">
      <c r="A86" s="100" t="n">
        <v>83</v>
      </c>
      <c r="B86" s="103"/>
    </row>
    <row r="87" customFormat="false" ht="10.5" hidden="false" customHeight="true" outlineLevel="0" collapsed="false">
      <c r="A87" s="100" t="n">
        <v>84</v>
      </c>
      <c r="B87" s="102" t="s">
        <v>1060</v>
      </c>
    </row>
    <row r="88" customFormat="false" ht="10.5" hidden="false" customHeight="true" outlineLevel="0" collapsed="false">
      <c r="A88" s="100" t="n">
        <v>85</v>
      </c>
      <c r="B88" s="102" t="s">
        <v>1061</v>
      </c>
    </row>
    <row r="89" customFormat="false" ht="10.5" hidden="false" customHeight="true" outlineLevel="0" collapsed="false">
      <c r="A89" s="100" t="n">
        <v>86</v>
      </c>
      <c r="B89" s="103" t="s">
        <v>1062</v>
      </c>
    </row>
    <row r="90" customFormat="false" ht="10.5" hidden="false" customHeight="true" outlineLevel="0" collapsed="false">
      <c r="A90" s="100" t="n">
        <v>87</v>
      </c>
      <c r="B90" s="103" t="s">
        <v>1063</v>
      </c>
    </row>
    <row r="91" customFormat="false" ht="10.5" hidden="false" customHeight="true" outlineLevel="0" collapsed="false">
      <c r="A91" s="100" t="n">
        <v>88</v>
      </c>
      <c r="B91" s="103" t="s">
        <v>1064</v>
      </c>
    </row>
    <row r="92" customFormat="false" ht="10.5" hidden="false" customHeight="true" outlineLevel="0" collapsed="false">
      <c r="A92" s="100" t="n">
        <v>89</v>
      </c>
      <c r="B92" s="103" t="s">
        <v>1065</v>
      </c>
    </row>
    <row r="93" customFormat="false" ht="10.5" hidden="false" customHeight="true" outlineLevel="0" collapsed="false">
      <c r="A93" s="100" t="n">
        <v>90</v>
      </c>
      <c r="B93" s="103" t="s">
        <v>1066</v>
      </c>
    </row>
    <row r="94" customFormat="false" ht="10.5" hidden="false" customHeight="true" outlineLevel="0" collapsed="false">
      <c r="A94" s="100" t="n">
        <v>91</v>
      </c>
      <c r="B94" s="103" t="s">
        <v>1067</v>
      </c>
    </row>
    <row r="95" customFormat="false" ht="10.5" hidden="false" customHeight="true" outlineLevel="0" collapsed="false">
      <c r="A95" s="100" t="n">
        <v>92</v>
      </c>
      <c r="B95" s="103"/>
    </row>
    <row r="96" customFormat="false" ht="10.5" hidden="false" customHeight="true" outlineLevel="0" collapsed="false">
      <c r="A96" s="100" t="n">
        <v>93</v>
      </c>
      <c r="B96" s="103" t="s">
        <v>1068</v>
      </c>
    </row>
    <row r="97" customFormat="false" ht="10.5" hidden="false" customHeight="true" outlineLevel="0" collapsed="false">
      <c r="A97" s="100" t="n">
        <v>94</v>
      </c>
      <c r="B97" s="103" t="s">
        <v>1069</v>
      </c>
    </row>
    <row r="98" customFormat="false" ht="10.5" hidden="false" customHeight="true" outlineLevel="0" collapsed="false">
      <c r="A98" s="100" t="n">
        <v>95</v>
      </c>
      <c r="B98" s="103" t="s">
        <v>1070</v>
      </c>
    </row>
    <row r="99" customFormat="false" ht="10.5" hidden="false" customHeight="true" outlineLevel="0" collapsed="false">
      <c r="A99" s="100" t="n">
        <v>96</v>
      </c>
      <c r="B99" s="103" t="s">
        <v>1067</v>
      </c>
    </row>
    <row r="100" customFormat="false" ht="10.5" hidden="false" customHeight="true" outlineLevel="0" collapsed="false">
      <c r="A100" s="100" t="n">
        <v>97</v>
      </c>
      <c r="B100" s="103"/>
    </row>
    <row r="101" customFormat="false" ht="10.5" hidden="false" customHeight="true" outlineLevel="0" collapsed="false">
      <c r="A101" s="100" t="n">
        <v>98</v>
      </c>
      <c r="B101" s="103" t="s">
        <v>1071</v>
      </c>
    </row>
    <row r="102" customFormat="false" ht="10.5" hidden="false" customHeight="true" outlineLevel="0" collapsed="false">
      <c r="A102" s="100" t="n">
        <v>99</v>
      </c>
      <c r="B102" s="103" t="s">
        <v>1072</v>
      </c>
    </row>
    <row r="103" customFormat="false" ht="10.5" hidden="false" customHeight="true" outlineLevel="0" collapsed="false">
      <c r="A103" s="100" t="n">
        <v>100</v>
      </c>
      <c r="B103" s="103" t="s">
        <v>1073</v>
      </c>
    </row>
    <row r="104" customFormat="false" ht="10.5" hidden="false" customHeight="true" outlineLevel="0" collapsed="false">
      <c r="A104" s="100" t="n">
        <v>101</v>
      </c>
      <c r="B104" s="103" t="s">
        <v>1074</v>
      </c>
    </row>
    <row r="105" customFormat="false" ht="10.5" hidden="false" customHeight="true" outlineLevel="0" collapsed="false">
      <c r="A105" s="100" t="n">
        <v>102</v>
      </c>
      <c r="B105" s="103"/>
    </row>
    <row r="106" customFormat="false" ht="10.5" hidden="false" customHeight="true" outlineLevel="0" collapsed="false">
      <c r="A106" s="100" t="n">
        <v>103</v>
      </c>
      <c r="B106" s="103" t="s">
        <v>1075</v>
      </c>
    </row>
    <row r="107" customFormat="false" ht="10.5" hidden="false" customHeight="true" outlineLevel="0" collapsed="false">
      <c r="A107" s="100" t="n">
        <v>104</v>
      </c>
      <c r="B107" s="103" t="s">
        <v>1076</v>
      </c>
    </row>
    <row r="108" customFormat="false" ht="10.5" hidden="false" customHeight="true" outlineLevel="0" collapsed="false">
      <c r="A108" s="100" t="n">
        <v>105</v>
      </c>
      <c r="B108" s="103" t="s">
        <v>1077</v>
      </c>
    </row>
    <row r="109" customFormat="false" ht="10.5" hidden="false" customHeight="true" outlineLevel="0" collapsed="false">
      <c r="A109" s="100" t="n">
        <v>106</v>
      </c>
      <c r="B109" s="103" t="s">
        <v>1078</v>
      </c>
    </row>
    <row r="110" customFormat="false" ht="10.5" hidden="false" customHeight="true" outlineLevel="0" collapsed="false">
      <c r="A110" s="100" t="n">
        <v>107</v>
      </c>
      <c r="B110" s="103" t="s">
        <v>1079</v>
      </c>
    </row>
    <row r="111" customFormat="false" ht="10.5" hidden="false" customHeight="true" outlineLevel="0" collapsed="false">
      <c r="A111" s="100" t="n">
        <v>108</v>
      </c>
      <c r="B111" s="103" t="s">
        <v>1080</v>
      </c>
    </row>
    <row r="112" customFormat="false" ht="10.5" hidden="false" customHeight="true" outlineLevel="0" collapsed="false">
      <c r="A112" s="100" t="n">
        <v>109</v>
      </c>
      <c r="B112" s="103" t="s">
        <v>1081</v>
      </c>
    </row>
    <row r="113" customFormat="false" ht="10.5" hidden="false" customHeight="true" outlineLevel="0" collapsed="false">
      <c r="A113" s="100" t="n">
        <v>110</v>
      </c>
      <c r="B113" s="103"/>
    </row>
    <row r="114" customFormat="false" ht="10.5" hidden="false" customHeight="true" outlineLevel="0" collapsed="false">
      <c r="A114" s="100" t="n">
        <v>111</v>
      </c>
      <c r="B114" s="102" t="s">
        <v>1039</v>
      </c>
    </row>
    <row r="115" customFormat="false" ht="10.5" hidden="false" customHeight="true" outlineLevel="0" collapsed="false">
      <c r="A115" s="100" t="n">
        <v>112</v>
      </c>
      <c r="B115" s="102" t="s">
        <v>1082</v>
      </c>
    </row>
    <row r="116" customFormat="false" ht="10.5" hidden="false" customHeight="true" outlineLevel="0" collapsed="false">
      <c r="A116" s="100" t="n">
        <v>113</v>
      </c>
      <c r="B116" s="102" t="s">
        <v>1083</v>
      </c>
    </row>
    <row r="117" customFormat="false" ht="10.5" hidden="false" customHeight="true" outlineLevel="0" collapsed="false">
      <c r="A117" s="100" t="n">
        <v>114</v>
      </c>
      <c r="B117" s="102" t="s">
        <v>1039</v>
      </c>
    </row>
    <row r="118" customFormat="false" ht="10.5" hidden="false" customHeight="true" outlineLevel="0" collapsed="false">
      <c r="A118" s="100" t="n">
        <v>115</v>
      </c>
      <c r="B118" s="103" t="s">
        <v>1084</v>
      </c>
    </row>
    <row r="119" customFormat="false" ht="10.5" hidden="false" customHeight="true" outlineLevel="0" collapsed="false">
      <c r="A119" s="100" t="n">
        <v>116</v>
      </c>
      <c r="B119" s="103"/>
    </row>
    <row r="120" customFormat="false" ht="10.5" hidden="false" customHeight="true" outlineLevel="0" collapsed="false">
      <c r="A120" s="100" t="n">
        <v>117</v>
      </c>
      <c r="B120" s="103" t="s">
        <v>1043</v>
      </c>
    </row>
    <row r="121" customFormat="false" ht="10.5" hidden="false" customHeight="true" outlineLevel="0" collapsed="false">
      <c r="A121" s="100" t="n">
        <v>118</v>
      </c>
      <c r="B121" s="103" t="s">
        <v>1044</v>
      </c>
    </row>
    <row r="122" customFormat="false" ht="10.5" hidden="false" customHeight="true" outlineLevel="0" collapsed="false">
      <c r="A122" s="100" t="n">
        <v>119</v>
      </c>
      <c r="B122" s="103" t="s">
        <v>1045</v>
      </c>
    </row>
    <row r="123" customFormat="false" ht="10.5" hidden="false" customHeight="true" outlineLevel="0" collapsed="false">
      <c r="A123" s="100" t="n">
        <v>120</v>
      </c>
      <c r="B123" s="103"/>
    </row>
    <row r="124" customFormat="false" ht="10.5" hidden="false" customHeight="true" outlineLevel="0" collapsed="false">
      <c r="A124" s="100" t="n">
        <v>121</v>
      </c>
      <c r="B124" s="103" t="s">
        <v>1047</v>
      </c>
    </row>
    <row r="125" customFormat="false" ht="10.5" hidden="false" customHeight="true" outlineLevel="0" collapsed="false">
      <c r="A125" s="100" t="n">
        <v>122</v>
      </c>
      <c r="B125" s="103" t="s">
        <v>1085</v>
      </c>
    </row>
    <row r="126" customFormat="false" ht="10.5" hidden="false" customHeight="true" outlineLevel="0" collapsed="false">
      <c r="A126" s="100" t="n">
        <v>123</v>
      </c>
      <c r="B126" s="103"/>
    </row>
    <row r="127" customFormat="false" ht="10.5" hidden="false" customHeight="true" outlineLevel="0" collapsed="false">
      <c r="A127" s="100" t="n">
        <v>124</v>
      </c>
      <c r="B127" s="103" t="s">
        <v>1050</v>
      </c>
    </row>
    <row r="128" customFormat="false" ht="10.5" hidden="false" customHeight="true" outlineLevel="0" collapsed="false">
      <c r="A128" s="100" t="n">
        <v>125</v>
      </c>
      <c r="B128" s="103" t="s">
        <v>1052</v>
      </c>
    </row>
    <row r="129" customFormat="false" ht="10.5" hidden="false" customHeight="true" outlineLevel="0" collapsed="false">
      <c r="A129" s="100" t="n">
        <v>126</v>
      </c>
      <c r="B129" s="103" t="s">
        <v>1054</v>
      </c>
    </row>
    <row r="130" customFormat="false" ht="10.5" hidden="false" customHeight="true" outlineLevel="0" collapsed="false">
      <c r="A130" s="100" t="n">
        <v>127</v>
      </c>
      <c r="B130" s="103"/>
    </row>
    <row r="131" customFormat="false" ht="10.5" hidden="false" customHeight="true" outlineLevel="0" collapsed="false">
      <c r="A131" s="100" t="n">
        <v>128</v>
      </c>
      <c r="B131" s="103" t="s">
        <v>1056</v>
      </c>
    </row>
    <row r="132" customFormat="false" ht="10.5" hidden="false" customHeight="true" outlineLevel="0" collapsed="false">
      <c r="A132" s="100" t="n">
        <v>129</v>
      </c>
      <c r="B132" s="103" t="s">
        <v>1057</v>
      </c>
    </row>
    <row r="133" customFormat="false" ht="10.5" hidden="false" customHeight="true" outlineLevel="0" collapsed="false">
      <c r="A133" s="100" t="n">
        <v>130</v>
      </c>
      <c r="B133" s="103" t="s">
        <v>1059</v>
      </c>
    </row>
    <row r="134" customFormat="false" ht="10.5" hidden="false" customHeight="true" outlineLevel="0" collapsed="false">
      <c r="A134" s="100" t="n">
        <v>131</v>
      </c>
      <c r="B134" s="103"/>
    </row>
    <row r="135" customFormat="false" ht="10.5" hidden="false" customHeight="true" outlineLevel="0" collapsed="false">
      <c r="A135" s="100" t="n">
        <v>132</v>
      </c>
      <c r="B135" s="103" t="s">
        <v>1086</v>
      </c>
    </row>
    <row r="136" customFormat="false" ht="10.5" hidden="false" customHeight="true" outlineLevel="0" collapsed="false">
      <c r="A136" s="100" t="n">
        <v>133</v>
      </c>
      <c r="B136" s="103" t="s">
        <v>1087</v>
      </c>
    </row>
    <row r="137" customFormat="false" ht="10.5" hidden="false" customHeight="true" outlineLevel="0" collapsed="false">
      <c r="A137" s="100" t="n">
        <v>134</v>
      </c>
      <c r="B137" s="103" t="s">
        <v>1074</v>
      </c>
    </row>
    <row r="138" customFormat="false" ht="10.5" hidden="false" customHeight="true" outlineLevel="0" collapsed="false">
      <c r="A138" s="100" t="n">
        <v>135</v>
      </c>
      <c r="B138" s="103"/>
    </row>
    <row r="139" customFormat="false" ht="10.5" hidden="false" customHeight="true" outlineLevel="0" collapsed="false">
      <c r="A139" s="100" t="n">
        <v>136</v>
      </c>
      <c r="B139" s="103" t="s">
        <v>1075</v>
      </c>
    </row>
    <row r="140" customFormat="false" ht="10.5" hidden="false" customHeight="true" outlineLevel="0" collapsed="false">
      <c r="A140" s="100" t="n">
        <v>137</v>
      </c>
      <c r="B140" s="103" t="s">
        <v>1076</v>
      </c>
    </row>
    <row r="141" customFormat="false" ht="10.5" hidden="false" customHeight="true" outlineLevel="0" collapsed="false">
      <c r="A141" s="100" t="n">
        <v>138</v>
      </c>
      <c r="B141" s="103" t="s">
        <v>1077</v>
      </c>
    </row>
    <row r="142" customFormat="false" ht="10.5" hidden="false" customHeight="true" outlineLevel="0" collapsed="false">
      <c r="A142" s="100" t="n">
        <v>139</v>
      </c>
      <c r="B142" s="103" t="s">
        <v>1078</v>
      </c>
    </row>
    <row r="143" customFormat="false" ht="10.5" hidden="false" customHeight="true" outlineLevel="0" collapsed="false">
      <c r="A143" s="100" t="n">
        <v>140</v>
      </c>
      <c r="B143" s="103" t="s">
        <v>1088</v>
      </c>
    </row>
    <row r="144" customFormat="false" ht="10.5" hidden="false" customHeight="true" outlineLevel="0" collapsed="false">
      <c r="A144" s="100" t="n">
        <v>141</v>
      </c>
      <c r="B144" s="103" t="s">
        <v>1081</v>
      </c>
    </row>
    <row r="145" customFormat="false" ht="10.5" hidden="false" customHeight="true" outlineLevel="0" collapsed="false">
      <c r="A145" s="100" t="n">
        <v>142</v>
      </c>
      <c r="B145" s="103"/>
    </row>
    <row r="146" customFormat="false" ht="10.5" hidden="false" customHeight="true" outlineLevel="0" collapsed="false">
      <c r="A146" s="100" t="n">
        <v>143</v>
      </c>
      <c r="B146" s="102" t="s">
        <v>1039</v>
      </c>
    </row>
    <row r="147" customFormat="false" ht="10.5" hidden="false" customHeight="true" outlineLevel="0" collapsed="false">
      <c r="A147" s="100" t="n">
        <v>144</v>
      </c>
      <c r="B147" s="102" t="s">
        <v>1089</v>
      </c>
    </row>
    <row r="148" customFormat="false" ht="10.5" hidden="false" customHeight="true" outlineLevel="0" collapsed="false">
      <c r="A148" s="100" t="n">
        <v>145</v>
      </c>
      <c r="B148" s="102" t="s">
        <v>1090</v>
      </c>
    </row>
    <row r="149" customFormat="false" ht="10.5" hidden="false" customHeight="true" outlineLevel="0" collapsed="false">
      <c r="A149" s="100" t="n">
        <v>146</v>
      </c>
      <c r="B149" s="102" t="s">
        <v>1039</v>
      </c>
    </row>
    <row r="150" customFormat="false" ht="10.5" hidden="false" customHeight="true" outlineLevel="0" collapsed="false">
      <c r="A150" s="100" t="n">
        <v>147</v>
      </c>
      <c r="B150" s="103" t="s">
        <v>1091</v>
      </c>
    </row>
    <row r="151" customFormat="false" ht="10.5" hidden="false" customHeight="true" outlineLevel="0" collapsed="false">
      <c r="A151" s="100" t="n">
        <v>148</v>
      </c>
      <c r="B151" s="103"/>
    </row>
    <row r="152" customFormat="false" ht="10.5" hidden="false" customHeight="true" outlineLevel="0" collapsed="false">
      <c r="A152" s="100" t="n">
        <v>149</v>
      </c>
      <c r="B152" s="103" t="s">
        <v>1092</v>
      </c>
    </row>
    <row r="153" customFormat="false" ht="10.5" hidden="false" customHeight="true" outlineLevel="0" collapsed="false">
      <c r="A153" s="100" t="n">
        <v>150</v>
      </c>
      <c r="B153" s="103" t="s">
        <v>1093</v>
      </c>
    </row>
    <row r="154" customFormat="false" ht="10.5" hidden="false" customHeight="true" outlineLevel="0" collapsed="false">
      <c r="A154" s="100" t="n">
        <v>151</v>
      </c>
      <c r="B154" s="103"/>
    </row>
    <row r="155" customFormat="false" ht="10.5" hidden="false" customHeight="true" outlineLevel="0" collapsed="false">
      <c r="A155" s="100" t="n">
        <v>152</v>
      </c>
      <c r="B155" s="103" t="s">
        <v>1047</v>
      </c>
    </row>
    <row r="156" customFormat="false" ht="10.5" hidden="false" customHeight="true" outlineLevel="0" collapsed="false">
      <c r="A156" s="100" t="n">
        <v>153</v>
      </c>
      <c r="B156" s="103" t="s">
        <v>1094</v>
      </c>
    </row>
    <row r="157" customFormat="false" ht="10.5" hidden="false" customHeight="true" outlineLevel="0" collapsed="false">
      <c r="A157" s="100" t="n">
        <v>154</v>
      </c>
      <c r="B157" s="103" t="s">
        <v>1095</v>
      </c>
    </row>
    <row r="158" customFormat="false" ht="10.5" hidden="false" customHeight="true" outlineLevel="0" collapsed="false">
      <c r="A158" s="100" t="n">
        <v>155</v>
      </c>
      <c r="B158" s="103" t="s">
        <v>1096</v>
      </c>
    </row>
    <row r="159" customFormat="false" ht="10.5" hidden="false" customHeight="true" outlineLevel="0" collapsed="false">
      <c r="A159" s="100" t="n">
        <v>156</v>
      </c>
      <c r="B159" s="103" t="s">
        <v>1097</v>
      </c>
    </row>
    <row r="160" customFormat="false" ht="10.5" hidden="false" customHeight="true" outlineLevel="0" collapsed="false">
      <c r="A160" s="100" t="n">
        <v>157</v>
      </c>
      <c r="B160" s="103" t="s">
        <v>1098</v>
      </c>
    </row>
    <row r="161" customFormat="false" ht="10.5" hidden="false" customHeight="true" outlineLevel="0" collapsed="false">
      <c r="A161" s="100" t="n">
        <v>158</v>
      </c>
      <c r="B161" s="103" t="s">
        <v>1074</v>
      </c>
    </row>
    <row r="162" customFormat="false" ht="10.5" hidden="false" customHeight="true" outlineLevel="0" collapsed="false">
      <c r="A162" s="100" t="n">
        <v>159</v>
      </c>
      <c r="B162" s="103"/>
    </row>
    <row r="163" customFormat="false" ht="10.5" hidden="false" customHeight="true" outlineLevel="0" collapsed="false">
      <c r="A163" s="100" t="n">
        <v>160</v>
      </c>
      <c r="B163" s="103" t="s">
        <v>1075</v>
      </c>
    </row>
    <row r="164" customFormat="false" ht="10.5" hidden="false" customHeight="true" outlineLevel="0" collapsed="false">
      <c r="A164" s="100" t="n">
        <v>161</v>
      </c>
      <c r="B164" s="103" t="s">
        <v>1097</v>
      </c>
    </row>
    <row r="165" customFormat="false" ht="10.5" hidden="false" customHeight="true" outlineLevel="0" collapsed="false">
      <c r="A165" s="100" t="n">
        <v>162</v>
      </c>
      <c r="B165" s="103" t="s">
        <v>1088</v>
      </c>
    </row>
    <row r="166" customFormat="false" ht="10.5" hidden="false" customHeight="true" outlineLevel="0" collapsed="false">
      <c r="A166" s="100" t="n">
        <v>163</v>
      </c>
      <c r="B166" s="103" t="s">
        <v>1081</v>
      </c>
    </row>
    <row r="167" customFormat="false" ht="10.5" hidden="false" customHeight="true" outlineLevel="0" collapsed="false">
      <c r="A167" s="100" t="n">
        <v>164</v>
      </c>
      <c r="B167" s="103"/>
    </row>
    <row r="168" customFormat="false" ht="10.5" hidden="false" customHeight="true" outlineLevel="0" collapsed="false">
      <c r="A168" s="100" t="n">
        <v>165</v>
      </c>
      <c r="B168" s="102" t="s">
        <v>1039</v>
      </c>
    </row>
    <row r="169" customFormat="false" ht="10.5" hidden="false" customHeight="true" outlineLevel="0" collapsed="false">
      <c r="A169" s="100" t="n">
        <v>166</v>
      </c>
      <c r="B169" s="102" t="s">
        <v>1099</v>
      </c>
    </row>
    <row r="170" customFormat="false" ht="10.5" hidden="false" customHeight="true" outlineLevel="0" collapsed="false">
      <c r="A170" s="100" t="n">
        <v>167</v>
      </c>
      <c r="B170" s="102" t="s">
        <v>1100</v>
      </c>
    </row>
    <row r="171" customFormat="false" ht="10.5" hidden="false" customHeight="true" outlineLevel="0" collapsed="false">
      <c r="A171" s="100" t="n">
        <v>168</v>
      </c>
      <c r="B171" s="102" t="s">
        <v>1039</v>
      </c>
    </row>
    <row r="172" customFormat="false" ht="10.5" hidden="false" customHeight="true" outlineLevel="0" collapsed="false">
      <c r="A172" s="100" t="n">
        <v>169</v>
      </c>
      <c r="B172" s="103" t="s">
        <v>1101</v>
      </c>
    </row>
    <row r="173" customFormat="false" ht="10.5" hidden="false" customHeight="true" outlineLevel="0" collapsed="false">
      <c r="A173" s="100" t="n">
        <v>170</v>
      </c>
      <c r="B173" s="103" t="s">
        <v>1102</v>
      </c>
    </row>
    <row r="174" customFormat="false" ht="10.5" hidden="false" customHeight="true" outlineLevel="0" collapsed="false">
      <c r="A174" s="100" t="n">
        <v>171</v>
      </c>
      <c r="B174" s="103" t="s">
        <v>1103</v>
      </c>
    </row>
    <row r="175" customFormat="false" ht="10.5" hidden="false" customHeight="true" outlineLevel="0" collapsed="false">
      <c r="A175" s="100" t="n">
        <v>172</v>
      </c>
      <c r="B175" s="103" t="s">
        <v>1094</v>
      </c>
    </row>
    <row r="176" customFormat="false" ht="10.5" hidden="false" customHeight="true" outlineLevel="0" collapsed="false">
      <c r="A176" s="100" t="n">
        <v>173</v>
      </c>
      <c r="B176" s="103" t="s">
        <v>1104</v>
      </c>
    </row>
    <row r="177" customFormat="false" ht="10.5" hidden="false" customHeight="true" outlineLevel="0" collapsed="false">
      <c r="A177" s="100" t="n">
        <v>174</v>
      </c>
      <c r="B177" s="103" t="s">
        <v>1081</v>
      </c>
    </row>
    <row r="178" customFormat="false" ht="10.5" hidden="false" customHeight="true" outlineLevel="0" collapsed="false">
      <c r="A178" s="100" t="n">
        <v>175</v>
      </c>
      <c r="B178" s="103"/>
    </row>
    <row r="179" customFormat="false" ht="10.5" hidden="false" customHeight="true" outlineLevel="0" collapsed="false">
      <c r="A179" s="100" t="n">
        <v>176</v>
      </c>
      <c r="B179" s="103" t="s">
        <v>1105</v>
      </c>
    </row>
    <row r="180" customFormat="false" ht="10.5" hidden="false" customHeight="true" outlineLevel="0" collapsed="false">
      <c r="A180" s="100" t="n">
        <v>177</v>
      </c>
      <c r="B180" s="103" t="s">
        <v>1106</v>
      </c>
    </row>
    <row r="181" customFormat="false" ht="10.5" hidden="false" customHeight="true" outlineLevel="0" collapsed="false">
      <c r="A181" s="100" t="n">
        <v>178</v>
      </c>
      <c r="B181" s="103" t="s">
        <v>1107</v>
      </c>
    </row>
    <row r="182" customFormat="false" ht="10.5" hidden="false" customHeight="true" outlineLevel="0" collapsed="false">
      <c r="A182" s="100" t="n">
        <v>179</v>
      </c>
      <c r="B182" s="103" t="s">
        <v>1108</v>
      </c>
    </row>
    <row r="183" customFormat="false" ht="10.5" hidden="false" customHeight="true" outlineLevel="0" collapsed="false">
      <c r="A183" s="100" t="n">
        <v>180</v>
      </c>
      <c r="B183" s="103" t="s">
        <v>1097</v>
      </c>
    </row>
    <row r="184" customFormat="false" ht="10.5" hidden="false" customHeight="true" outlineLevel="0" collapsed="false">
      <c r="A184" s="100" t="n">
        <v>181</v>
      </c>
      <c r="B184" s="103" t="s">
        <v>1109</v>
      </c>
    </row>
    <row r="185" customFormat="false" ht="10.5" hidden="false" customHeight="true" outlineLevel="0" collapsed="false">
      <c r="A185" s="100" t="n">
        <v>182</v>
      </c>
      <c r="B185" s="103" t="s">
        <v>1110</v>
      </c>
    </row>
    <row r="186" customFormat="false" ht="10.5" hidden="false" customHeight="true" outlineLevel="0" collapsed="false">
      <c r="A186" s="100" t="n">
        <v>183</v>
      </c>
      <c r="B186" s="103" t="s">
        <v>1081</v>
      </c>
    </row>
    <row r="187" customFormat="false" ht="10.5" hidden="false" customHeight="true" outlineLevel="0" collapsed="false">
      <c r="A187" s="100" t="n">
        <v>184</v>
      </c>
      <c r="B187" s="103"/>
    </row>
    <row r="188" customFormat="false" ht="10.5" hidden="false" customHeight="true" outlineLevel="0" collapsed="false">
      <c r="A188" s="100" t="n">
        <v>185</v>
      </c>
      <c r="B188" s="103" t="s">
        <v>1111</v>
      </c>
    </row>
    <row r="189" customFormat="false" ht="10.5" hidden="false" customHeight="true" outlineLevel="0" collapsed="false">
      <c r="A189" s="100" t="n">
        <v>186</v>
      </c>
      <c r="B189" s="103" t="s">
        <v>1112</v>
      </c>
    </row>
    <row r="190" customFormat="false" ht="10.5" hidden="false" customHeight="true" outlineLevel="0" collapsed="false">
      <c r="A190" s="100" t="n">
        <v>187</v>
      </c>
      <c r="B190" s="103" t="s">
        <v>1113</v>
      </c>
    </row>
    <row r="191" customFormat="false" ht="10.5" hidden="false" customHeight="true" outlineLevel="0" collapsed="false">
      <c r="A191" s="100" t="n">
        <v>188</v>
      </c>
      <c r="B191" s="103"/>
    </row>
    <row r="192" customFormat="false" ht="10.5" hidden="false" customHeight="true" outlineLevel="0" collapsed="false">
      <c r="A192" s="100" t="n">
        <v>189</v>
      </c>
      <c r="B192" s="103" t="s">
        <v>1114</v>
      </c>
    </row>
    <row r="193" customFormat="false" ht="10.5" hidden="false" customHeight="true" outlineLevel="0" collapsed="false">
      <c r="A193" s="100" t="n">
        <v>190</v>
      </c>
      <c r="B193" s="103" t="s">
        <v>1115</v>
      </c>
    </row>
    <row r="194" customFormat="false" ht="10.5" hidden="false" customHeight="true" outlineLevel="0" collapsed="false">
      <c r="A194" s="100" t="n">
        <v>191</v>
      </c>
      <c r="B194" s="103" t="s">
        <v>1116</v>
      </c>
    </row>
    <row r="195" customFormat="false" ht="10.5" hidden="false" customHeight="true" outlineLevel="0" collapsed="false">
      <c r="A195" s="100" t="n">
        <v>192</v>
      </c>
      <c r="B195" s="103" t="s">
        <v>1117</v>
      </c>
    </row>
    <row r="196" customFormat="false" ht="10.5" hidden="false" customHeight="true" outlineLevel="0" collapsed="false">
      <c r="A196" s="100" t="n">
        <v>193</v>
      </c>
      <c r="B196" s="103" t="s">
        <v>1118</v>
      </c>
    </row>
    <row r="197" customFormat="false" ht="10.5" hidden="false" customHeight="true" outlineLevel="0" collapsed="false">
      <c r="A197" s="100" t="n">
        <v>194</v>
      </c>
      <c r="B197" s="103" t="s">
        <v>1119</v>
      </c>
    </row>
    <row r="198" customFormat="false" ht="10.5" hidden="false" customHeight="true" outlineLevel="0" collapsed="false">
      <c r="A198" s="100" t="n">
        <v>195</v>
      </c>
      <c r="B198" s="103" t="s">
        <v>1081</v>
      </c>
    </row>
    <row r="199" customFormat="false" ht="10.5" hidden="false" customHeight="true" outlineLevel="0" collapsed="false">
      <c r="A199" s="100" t="n">
        <v>196</v>
      </c>
      <c r="B199" s="103"/>
    </row>
    <row r="200" customFormat="false" ht="10.5" hidden="false" customHeight="true" outlineLevel="0" collapsed="false">
      <c r="A200" s="100" t="n">
        <v>197</v>
      </c>
      <c r="B200" s="103"/>
    </row>
    <row r="201" customFormat="false" ht="10.5" hidden="false" customHeight="true" outlineLevel="0" collapsed="false">
      <c r="A201" s="100" t="n">
        <v>198</v>
      </c>
      <c r="B201" s="101" t="s">
        <v>1120</v>
      </c>
    </row>
    <row r="202" customFormat="false" ht="10.5" hidden="false" customHeight="true" outlineLevel="0" collapsed="false">
      <c r="A202" s="100" t="n">
        <v>199</v>
      </c>
      <c r="B202" s="103" t="s">
        <v>1017</v>
      </c>
    </row>
    <row r="203" customFormat="false" ht="10.5" hidden="false" customHeight="true" outlineLevel="0" collapsed="false">
      <c r="A203" s="100" t="n">
        <v>200</v>
      </c>
      <c r="B203" s="103"/>
    </row>
    <row r="204" customFormat="false" ht="10.5" hidden="false" customHeight="true" outlineLevel="0" collapsed="false">
      <c r="A204" s="100" t="n">
        <v>201</v>
      </c>
      <c r="B204" s="102" t="s">
        <v>1039</v>
      </c>
    </row>
    <row r="205" customFormat="false" ht="10.5" hidden="false" customHeight="true" outlineLevel="0" collapsed="false">
      <c r="A205" s="100" t="n">
        <v>202</v>
      </c>
      <c r="B205" s="102" t="s">
        <v>1121</v>
      </c>
    </row>
    <row r="206" customFormat="false" ht="10.5" hidden="false" customHeight="true" outlineLevel="0" collapsed="false">
      <c r="A206" s="100" t="n">
        <v>203</v>
      </c>
      <c r="B206" s="102" t="s">
        <v>1122</v>
      </c>
    </row>
    <row r="207" customFormat="false" ht="10.5" hidden="false" customHeight="true" outlineLevel="0" collapsed="false">
      <c r="A207" s="100" t="n">
        <v>204</v>
      </c>
      <c r="B207" s="102" t="s">
        <v>1123</v>
      </c>
    </row>
    <row r="208" customFormat="false" ht="10.5" hidden="false" customHeight="true" outlineLevel="0" collapsed="false">
      <c r="A208" s="100" t="n">
        <v>205</v>
      </c>
      <c r="B208" s="102" t="s">
        <v>1124</v>
      </c>
    </row>
    <row r="209" customFormat="false" ht="10.5" hidden="false" customHeight="true" outlineLevel="0" collapsed="false">
      <c r="A209" s="100" t="n">
        <v>206</v>
      </c>
      <c r="B209" s="102" t="s">
        <v>1039</v>
      </c>
    </row>
    <row r="210" customFormat="false" ht="10.5" hidden="false" customHeight="true" outlineLevel="0" collapsed="false">
      <c r="A210" s="100" t="n">
        <v>207</v>
      </c>
      <c r="B210" s="103" t="s">
        <v>1125</v>
      </c>
    </row>
    <row r="211" customFormat="false" ht="10.5" hidden="false" customHeight="true" outlineLevel="0" collapsed="false">
      <c r="A211" s="100" t="n">
        <v>208</v>
      </c>
      <c r="B211" s="103" t="s">
        <v>1126</v>
      </c>
    </row>
    <row r="212" customFormat="false" ht="10.5" hidden="false" customHeight="true" outlineLevel="0" collapsed="false">
      <c r="A212" s="100" t="n">
        <v>209</v>
      </c>
      <c r="B212" s="103"/>
    </row>
    <row r="213" customFormat="false" ht="10.5" hidden="false" customHeight="true" outlineLevel="0" collapsed="false">
      <c r="A213" s="100" t="n">
        <v>210</v>
      </c>
      <c r="B213" s="103" t="s">
        <v>1127</v>
      </c>
    </row>
    <row r="214" customFormat="false" ht="10.5" hidden="false" customHeight="true" outlineLevel="0" collapsed="false">
      <c r="A214" s="100" t="n">
        <v>211</v>
      </c>
      <c r="B214" s="103" t="s">
        <v>1128</v>
      </c>
    </row>
    <row r="215" customFormat="false" ht="10.5" hidden="false" customHeight="true" outlineLevel="0" collapsed="false">
      <c r="A215" s="100" t="n">
        <v>212</v>
      </c>
      <c r="B215" s="103" t="s">
        <v>1129</v>
      </c>
    </row>
    <row r="216" customFormat="false" ht="10.5" hidden="false" customHeight="true" outlineLevel="0" collapsed="false">
      <c r="A216" s="100" t="n">
        <v>213</v>
      </c>
      <c r="B216" s="103" t="s">
        <v>1130</v>
      </c>
    </row>
    <row r="217" customFormat="false" ht="10.5" hidden="false" customHeight="true" outlineLevel="0" collapsed="false">
      <c r="A217" s="100" t="n">
        <v>214</v>
      </c>
      <c r="B217" s="103" t="s">
        <v>1131</v>
      </c>
    </row>
    <row r="218" customFormat="false" ht="10.5" hidden="false" customHeight="true" outlineLevel="0" collapsed="false">
      <c r="A218" s="100" t="n">
        <v>215</v>
      </c>
      <c r="B218" s="103" t="s">
        <v>1132</v>
      </c>
    </row>
    <row r="219" customFormat="false" ht="10.5" hidden="false" customHeight="true" outlineLevel="0" collapsed="false">
      <c r="A219" s="100" t="n">
        <v>216</v>
      </c>
      <c r="B219" s="103" t="s">
        <v>1133</v>
      </c>
    </row>
    <row r="220" customFormat="false" ht="10.5" hidden="false" customHeight="true" outlineLevel="0" collapsed="false">
      <c r="A220" s="100" t="n">
        <v>217</v>
      </c>
      <c r="B220" s="103"/>
    </row>
    <row r="221" customFormat="false" ht="10.5" hidden="false" customHeight="true" outlineLevel="0" collapsed="false">
      <c r="A221" s="100" t="n">
        <v>218</v>
      </c>
      <c r="B221" s="103" t="s">
        <v>1134</v>
      </c>
    </row>
    <row r="222" customFormat="false" ht="10.5" hidden="false" customHeight="true" outlineLevel="0" collapsed="false">
      <c r="A222" s="100" t="n">
        <v>219</v>
      </c>
      <c r="B222" s="103" t="s">
        <v>1135</v>
      </c>
    </row>
    <row r="223" customFormat="false" ht="10.5" hidden="false" customHeight="true" outlineLevel="0" collapsed="false">
      <c r="A223" s="100" t="n">
        <v>220</v>
      </c>
      <c r="B223" s="103" t="s">
        <v>1136</v>
      </c>
    </row>
    <row r="224" customFormat="false" ht="10.5" hidden="false" customHeight="true" outlineLevel="0" collapsed="false">
      <c r="A224" s="100" t="n">
        <v>221</v>
      </c>
      <c r="B224" s="103" t="s">
        <v>1067</v>
      </c>
    </row>
    <row r="225" customFormat="false" ht="10.5" hidden="false" customHeight="true" outlineLevel="0" collapsed="false">
      <c r="A225" s="100" t="n">
        <v>222</v>
      </c>
      <c r="B225" s="103"/>
    </row>
    <row r="226" customFormat="false" ht="10.5" hidden="false" customHeight="true" outlineLevel="0" collapsed="false">
      <c r="A226" s="100" t="n">
        <v>223</v>
      </c>
      <c r="B226" s="103" t="s">
        <v>1137</v>
      </c>
    </row>
    <row r="227" customFormat="false" ht="10.5" hidden="false" customHeight="true" outlineLevel="0" collapsed="false">
      <c r="A227" s="100" t="n">
        <v>224</v>
      </c>
      <c r="B227" s="103" t="s">
        <v>1138</v>
      </c>
    </row>
    <row r="228" customFormat="false" ht="10.5" hidden="false" customHeight="true" outlineLevel="0" collapsed="false">
      <c r="A228" s="100" t="n">
        <v>225</v>
      </c>
      <c r="B228" s="103" t="s">
        <v>1139</v>
      </c>
    </row>
    <row r="229" customFormat="false" ht="10.5" hidden="false" customHeight="true" outlineLevel="0" collapsed="false">
      <c r="A229" s="100" t="n">
        <v>226</v>
      </c>
      <c r="B229" s="103"/>
    </row>
    <row r="230" customFormat="false" ht="10.5" hidden="false" customHeight="true" outlineLevel="0" collapsed="false">
      <c r="A230" s="100" t="n">
        <v>227</v>
      </c>
      <c r="B230" s="103" t="s">
        <v>1140</v>
      </c>
    </row>
    <row r="231" customFormat="false" ht="10.5" hidden="false" customHeight="true" outlineLevel="0" collapsed="false">
      <c r="A231" s="100" t="n">
        <v>228</v>
      </c>
      <c r="B231" s="103" t="s">
        <v>1141</v>
      </c>
    </row>
    <row r="232" customFormat="false" ht="10.5" hidden="false" customHeight="true" outlineLevel="0" collapsed="false">
      <c r="A232" s="100" t="n">
        <v>229</v>
      </c>
      <c r="B232" s="103" t="s">
        <v>1142</v>
      </c>
    </row>
    <row r="233" customFormat="false" ht="10.5" hidden="false" customHeight="true" outlineLevel="0" collapsed="false">
      <c r="A233" s="100" t="n">
        <v>230</v>
      </c>
      <c r="B233" s="103" t="s">
        <v>1143</v>
      </c>
    </row>
    <row r="234" customFormat="false" ht="10.5" hidden="false" customHeight="true" outlineLevel="0" collapsed="false">
      <c r="A234" s="100" t="n">
        <v>231</v>
      </c>
      <c r="B234" s="103" t="s">
        <v>1144</v>
      </c>
    </row>
    <row r="235" customFormat="false" ht="10.5" hidden="false" customHeight="true" outlineLevel="0" collapsed="false">
      <c r="A235" s="100" t="n">
        <v>232</v>
      </c>
      <c r="B235" s="103" t="s">
        <v>1067</v>
      </c>
    </row>
    <row r="236" customFormat="false" ht="10.5" hidden="false" customHeight="true" outlineLevel="0" collapsed="false">
      <c r="A236" s="100" t="n">
        <v>233</v>
      </c>
      <c r="B236" s="103"/>
    </row>
    <row r="237" customFormat="false" ht="10.5" hidden="false" customHeight="true" outlineLevel="0" collapsed="false">
      <c r="A237" s="100" t="n">
        <v>234</v>
      </c>
      <c r="B237" s="103" t="s">
        <v>1145</v>
      </c>
    </row>
    <row r="238" customFormat="false" ht="10.5" hidden="false" customHeight="true" outlineLevel="0" collapsed="false">
      <c r="A238" s="100" t="n">
        <v>235</v>
      </c>
      <c r="B238" s="103" t="s">
        <v>1146</v>
      </c>
    </row>
    <row r="239" customFormat="false" ht="10.5" hidden="false" customHeight="true" outlineLevel="0" collapsed="false">
      <c r="A239" s="100" t="n">
        <v>236</v>
      </c>
      <c r="B239" s="103" t="s">
        <v>1147</v>
      </c>
    </row>
    <row r="240" customFormat="false" ht="10.5" hidden="false" customHeight="true" outlineLevel="0" collapsed="false">
      <c r="A240" s="100" t="n">
        <v>237</v>
      </c>
      <c r="B240" s="103"/>
    </row>
    <row r="241" customFormat="false" ht="10.5" hidden="false" customHeight="true" outlineLevel="0" collapsed="false">
      <c r="A241" s="100" t="n">
        <v>238</v>
      </c>
      <c r="B241" s="103" t="s">
        <v>1148</v>
      </c>
    </row>
    <row r="242" customFormat="false" ht="10.5" hidden="false" customHeight="true" outlineLevel="0" collapsed="false">
      <c r="A242" s="100" t="n">
        <v>239</v>
      </c>
      <c r="B242" s="103" t="s">
        <v>1149</v>
      </c>
    </row>
    <row r="243" customFormat="false" ht="10.5" hidden="false" customHeight="true" outlineLevel="0" collapsed="false">
      <c r="A243" s="100" t="n">
        <v>240</v>
      </c>
      <c r="B243" s="103" t="s">
        <v>1150</v>
      </c>
    </row>
    <row r="244" customFormat="false" ht="10.5" hidden="false" customHeight="true" outlineLevel="0" collapsed="false">
      <c r="A244" s="100" t="n">
        <v>241</v>
      </c>
      <c r="B244" s="103" t="s">
        <v>1151</v>
      </c>
    </row>
    <row r="245" customFormat="false" ht="10.5" hidden="false" customHeight="true" outlineLevel="0" collapsed="false">
      <c r="A245" s="100" t="n">
        <v>242</v>
      </c>
      <c r="B245" s="103" t="s">
        <v>1152</v>
      </c>
    </row>
    <row r="246" customFormat="false" ht="10.5" hidden="false" customHeight="true" outlineLevel="0" collapsed="false">
      <c r="A246" s="100" t="n">
        <v>243</v>
      </c>
      <c r="B246" s="103" t="s">
        <v>1153</v>
      </c>
    </row>
    <row r="247" customFormat="false" ht="10.5" hidden="false" customHeight="true" outlineLevel="0" collapsed="false">
      <c r="A247" s="100" t="n">
        <v>244</v>
      </c>
      <c r="B247" s="103"/>
    </row>
    <row r="248" customFormat="false" ht="10.5" hidden="false" customHeight="true" outlineLevel="0" collapsed="false">
      <c r="A248" s="100" t="n">
        <v>245</v>
      </c>
      <c r="B248" s="103" t="s">
        <v>1154</v>
      </c>
    </row>
    <row r="249" customFormat="false" ht="10.5" hidden="false" customHeight="true" outlineLevel="0" collapsed="false">
      <c r="A249" s="100" t="n">
        <v>246</v>
      </c>
      <c r="B249" s="103" t="s">
        <v>1155</v>
      </c>
    </row>
    <row r="250" customFormat="false" ht="10.5" hidden="false" customHeight="true" outlineLevel="0" collapsed="false">
      <c r="A250" s="100" t="n">
        <v>247</v>
      </c>
      <c r="B250" s="103" t="s">
        <v>1156</v>
      </c>
    </row>
    <row r="251" customFormat="false" ht="10.5" hidden="false" customHeight="true" outlineLevel="0" collapsed="false">
      <c r="A251" s="100" t="n">
        <v>248</v>
      </c>
      <c r="B251" s="103" t="s">
        <v>1157</v>
      </c>
    </row>
    <row r="252" customFormat="false" ht="10.5" hidden="false" customHeight="true" outlineLevel="0" collapsed="false">
      <c r="A252" s="100" t="n">
        <v>249</v>
      </c>
      <c r="B252" s="103" t="s">
        <v>1067</v>
      </c>
    </row>
    <row r="253" customFormat="false" ht="10.5" hidden="false" customHeight="true" outlineLevel="0" collapsed="false">
      <c r="A253" s="100" t="n">
        <v>250</v>
      </c>
      <c r="B253" s="103"/>
    </row>
    <row r="254" customFormat="false" ht="10.5" hidden="false" customHeight="true" outlineLevel="0" collapsed="false">
      <c r="A254" s="100" t="n">
        <v>251</v>
      </c>
      <c r="B254" s="103" t="s">
        <v>1158</v>
      </c>
    </row>
    <row r="255" customFormat="false" ht="10.5" hidden="false" customHeight="true" outlineLevel="0" collapsed="false">
      <c r="A255" s="100" t="n">
        <v>252</v>
      </c>
      <c r="B255" s="103" t="s">
        <v>1159</v>
      </c>
    </row>
    <row r="256" customFormat="false" ht="10.5" hidden="false" customHeight="true" outlineLevel="0" collapsed="false">
      <c r="A256" s="100" t="n">
        <v>253</v>
      </c>
      <c r="B256" s="103" t="s">
        <v>1160</v>
      </c>
    </row>
    <row r="257" customFormat="false" ht="10.5" hidden="false" customHeight="true" outlineLevel="0" collapsed="false">
      <c r="A257" s="100" t="n">
        <v>254</v>
      </c>
      <c r="B257" s="103"/>
    </row>
    <row r="258" customFormat="false" ht="10.5" hidden="false" customHeight="true" outlineLevel="0" collapsed="false">
      <c r="A258" s="100" t="n">
        <v>255</v>
      </c>
      <c r="B258" s="103" t="s">
        <v>1161</v>
      </c>
    </row>
    <row r="259" customFormat="false" ht="10.5" hidden="false" customHeight="true" outlineLevel="0" collapsed="false">
      <c r="A259" s="100" t="n">
        <v>256</v>
      </c>
      <c r="B259" s="103" t="s">
        <v>1162</v>
      </c>
    </row>
    <row r="260" customFormat="false" ht="10.5" hidden="false" customHeight="true" outlineLevel="0" collapsed="false">
      <c r="A260" s="100" t="n">
        <v>257</v>
      </c>
      <c r="B260" s="103"/>
    </row>
    <row r="261" customFormat="false" ht="10.5" hidden="false" customHeight="true" outlineLevel="0" collapsed="false">
      <c r="A261" s="100" t="n">
        <v>258</v>
      </c>
      <c r="B261" s="102" t="s">
        <v>1163</v>
      </c>
    </row>
    <row r="262" customFormat="false" ht="10.5" hidden="false" customHeight="true" outlineLevel="0" collapsed="false">
      <c r="A262" s="100" t="n">
        <v>259</v>
      </c>
      <c r="B262" s="102" t="s">
        <v>1164</v>
      </c>
    </row>
    <row r="263" customFormat="false" ht="10.5" hidden="false" customHeight="true" outlineLevel="0" collapsed="false">
      <c r="A263" s="100" t="n">
        <v>260</v>
      </c>
      <c r="B263" s="103" t="s">
        <v>1165</v>
      </c>
    </row>
    <row r="264" customFormat="false" ht="10.5" hidden="false" customHeight="true" outlineLevel="0" collapsed="false">
      <c r="A264" s="100" t="n">
        <v>261</v>
      </c>
      <c r="B264" s="103" t="s">
        <v>1166</v>
      </c>
    </row>
    <row r="265" customFormat="false" ht="10.5" hidden="false" customHeight="true" outlineLevel="0" collapsed="false">
      <c r="A265" s="100" t="n">
        <v>262</v>
      </c>
      <c r="B265" s="103" t="s">
        <v>1167</v>
      </c>
    </row>
    <row r="266" customFormat="false" ht="10.5" hidden="false" customHeight="true" outlineLevel="0" collapsed="false">
      <c r="A266" s="100" t="n">
        <v>263</v>
      </c>
      <c r="B266" s="103" t="s">
        <v>1168</v>
      </c>
    </row>
    <row r="267" customFormat="false" ht="10.5" hidden="false" customHeight="true" outlineLevel="0" collapsed="false">
      <c r="A267" s="100" t="n">
        <v>264</v>
      </c>
      <c r="B267" s="103" t="s">
        <v>1169</v>
      </c>
    </row>
    <row r="268" customFormat="false" ht="10.5" hidden="false" customHeight="true" outlineLevel="0" collapsed="false">
      <c r="A268" s="100" t="n">
        <v>265</v>
      </c>
      <c r="B268" s="103" t="s">
        <v>1170</v>
      </c>
    </row>
    <row r="269" customFormat="false" ht="10.5" hidden="false" customHeight="true" outlineLevel="0" collapsed="false">
      <c r="A269" s="100" t="n">
        <v>266</v>
      </c>
      <c r="B269" s="103" t="s">
        <v>1171</v>
      </c>
    </row>
    <row r="270" customFormat="false" ht="10.5" hidden="false" customHeight="true" outlineLevel="0" collapsed="false">
      <c r="A270" s="100" t="n">
        <v>267</v>
      </c>
      <c r="B270" s="103" t="s">
        <v>1172</v>
      </c>
    </row>
    <row r="271" customFormat="false" ht="10.5" hidden="false" customHeight="true" outlineLevel="0" collapsed="false">
      <c r="A271" s="100" t="n">
        <v>268</v>
      </c>
      <c r="B271" s="103" t="s">
        <v>1173</v>
      </c>
    </row>
    <row r="272" customFormat="false" ht="10.5" hidden="false" customHeight="true" outlineLevel="0" collapsed="false">
      <c r="A272" s="100" t="n">
        <v>269</v>
      </c>
      <c r="B272" s="103" t="s">
        <v>1174</v>
      </c>
    </row>
    <row r="273" customFormat="false" ht="10.5" hidden="false" customHeight="true" outlineLevel="0" collapsed="false">
      <c r="A273" s="100" t="n">
        <v>270</v>
      </c>
      <c r="B273" s="103" t="s">
        <v>1175</v>
      </c>
    </row>
    <row r="274" customFormat="false" ht="10.5" hidden="false" customHeight="true" outlineLevel="0" collapsed="false">
      <c r="A274" s="100" t="n">
        <v>271</v>
      </c>
      <c r="B274" s="103" t="s">
        <v>1176</v>
      </c>
    </row>
    <row r="275" customFormat="false" ht="10.5" hidden="false" customHeight="true" outlineLevel="0" collapsed="false">
      <c r="A275" s="100" t="n">
        <v>272</v>
      </c>
      <c r="B275" s="103"/>
    </row>
    <row r="276" customFormat="false" ht="10.5" hidden="false" customHeight="true" outlineLevel="0" collapsed="false">
      <c r="A276" s="100" t="n">
        <v>273</v>
      </c>
      <c r="B276" s="103" t="s">
        <v>1177</v>
      </c>
    </row>
    <row r="277" customFormat="false" ht="10.5" hidden="false" customHeight="true" outlineLevel="0" collapsed="false">
      <c r="A277" s="100" t="n">
        <v>274</v>
      </c>
      <c r="B277" s="103" t="s">
        <v>1178</v>
      </c>
    </row>
    <row r="278" customFormat="false" ht="10.5" hidden="false" customHeight="true" outlineLevel="0" collapsed="false">
      <c r="A278" s="100" t="n">
        <v>275</v>
      </c>
      <c r="B278" s="103" t="s">
        <v>1179</v>
      </c>
    </row>
    <row r="279" customFormat="false" ht="10.5" hidden="false" customHeight="true" outlineLevel="0" collapsed="false">
      <c r="A279" s="100" t="n">
        <v>276</v>
      </c>
      <c r="B279" s="103"/>
    </row>
    <row r="280" customFormat="false" ht="10.5" hidden="false" customHeight="true" outlineLevel="0" collapsed="false">
      <c r="A280" s="100" t="n">
        <v>277</v>
      </c>
      <c r="B280" s="103" t="s">
        <v>1180</v>
      </c>
    </row>
    <row r="281" customFormat="false" ht="10.5" hidden="false" customHeight="true" outlineLevel="0" collapsed="false">
      <c r="A281" s="100" t="n">
        <v>278</v>
      </c>
      <c r="B281" s="103" t="s">
        <v>1181</v>
      </c>
    </row>
    <row r="282" customFormat="false" ht="10.5" hidden="false" customHeight="true" outlineLevel="0" collapsed="false">
      <c r="A282" s="100" t="n">
        <v>279</v>
      </c>
      <c r="B282" s="103" t="s">
        <v>1182</v>
      </c>
    </row>
    <row r="283" customFormat="false" ht="10.5" hidden="false" customHeight="true" outlineLevel="0" collapsed="false">
      <c r="A283" s="100" t="n">
        <v>280</v>
      </c>
      <c r="B283" s="103" t="s">
        <v>1067</v>
      </c>
    </row>
    <row r="284" customFormat="false" ht="10.5" hidden="false" customHeight="true" outlineLevel="0" collapsed="false">
      <c r="A284" s="100" t="n">
        <v>281</v>
      </c>
      <c r="B284" s="103"/>
    </row>
    <row r="285" customFormat="false" ht="10.5" hidden="false" customHeight="true" outlineLevel="0" collapsed="false">
      <c r="A285" s="100" t="n">
        <v>282</v>
      </c>
      <c r="B285" s="103" t="s">
        <v>1183</v>
      </c>
    </row>
    <row r="286" customFormat="false" ht="10.5" hidden="false" customHeight="true" outlineLevel="0" collapsed="false">
      <c r="A286" s="100" t="n">
        <v>283</v>
      </c>
      <c r="B286" s="103" t="s">
        <v>1184</v>
      </c>
    </row>
    <row r="287" customFormat="false" ht="10.5" hidden="false" customHeight="true" outlineLevel="0" collapsed="false">
      <c r="A287" s="100" t="n">
        <v>284</v>
      </c>
      <c r="B287" s="103"/>
    </row>
    <row r="288" customFormat="false" ht="10.5" hidden="false" customHeight="true" outlineLevel="0" collapsed="false">
      <c r="A288" s="100" t="n">
        <v>285</v>
      </c>
      <c r="B288" s="103" t="s">
        <v>1185</v>
      </c>
    </row>
    <row r="289" customFormat="false" ht="10.5" hidden="false" customHeight="true" outlineLevel="0" collapsed="false">
      <c r="A289" s="100" t="n">
        <v>286</v>
      </c>
      <c r="B289" s="103" t="s">
        <v>1186</v>
      </c>
    </row>
    <row r="290" customFormat="false" ht="10.5" hidden="false" customHeight="true" outlineLevel="0" collapsed="false">
      <c r="A290" s="100" t="n">
        <v>287</v>
      </c>
      <c r="B290" s="103" t="s">
        <v>1187</v>
      </c>
    </row>
    <row r="291" customFormat="false" ht="10.5" hidden="false" customHeight="true" outlineLevel="0" collapsed="false">
      <c r="A291" s="100" t="n">
        <v>288</v>
      </c>
      <c r="B291" s="103" t="s">
        <v>1113</v>
      </c>
    </row>
    <row r="292" customFormat="false" ht="10.5" hidden="false" customHeight="true" outlineLevel="0" collapsed="false">
      <c r="A292" s="100" t="n">
        <v>289</v>
      </c>
      <c r="B292" s="103"/>
    </row>
    <row r="293" customFormat="false" ht="10.5" hidden="false" customHeight="true" outlineLevel="0" collapsed="false">
      <c r="A293" s="100" t="n">
        <v>290</v>
      </c>
      <c r="B293" s="102" t="s">
        <v>1039</v>
      </c>
    </row>
    <row r="294" customFormat="false" ht="10.5" hidden="false" customHeight="true" outlineLevel="0" collapsed="false">
      <c r="A294" s="100" t="n">
        <v>291</v>
      </c>
      <c r="B294" s="102" t="s">
        <v>1188</v>
      </c>
    </row>
    <row r="295" customFormat="false" ht="10.5" hidden="false" customHeight="true" outlineLevel="0" collapsed="false">
      <c r="A295" s="100" t="n">
        <v>292</v>
      </c>
      <c r="B295" s="102" t="s">
        <v>1189</v>
      </c>
    </row>
    <row r="296" customFormat="false" ht="10.5" hidden="false" customHeight="true" outlineLevel="0" collapsed="false">
      <c r="A296" s="100" t="n">
        <v>293</v>
      </c>
      <c r="B296" s="102" t="s">
        <v>1190</v>
      </c>
    </row>
    <row r="297" customFormat="false" ht="10.5" hidden="false" customHeight="true" outlineLevel="0" collapsed="false">
      <c r="A297" s="100" t="n">
        <v>294</v>
      </c>
      <c r="B297" s="102" t="s">
        <v>1039</v>
      </c>
    </row>
    <row r="298" customFormat="false" ht="10.5" hidden="false" customHeight="true" outlineLevel="0" collapsed="false">
      <c r="A298" s="100" t="n">
        <v>295</v>
      </c>
      <c r="B298" s="103" t="s">
        <v>1191</v>
      </c>
    </row>
    <row r="299" customFormat="false" ht="10.5" hidden="false" customHeight="true" outlineLevel="0" collapsed="false">
      <c r="A299" s="100" t="n">
        <v>296</v>
      </c>
      <c r="B299" s="103"/>
    </row>
    <row r="300" customFormat="false" ht="10.5" hidden="false" customHeight="true" outlineLevel="0" collapsed="false">
      <c r="A300" s="100" t="n">
        <v>297</v>
      </c>
      <c r="B300" s="103" t="s">
        <v>1127</v>
      </c>
    </row>
    <row r="301" customFormat="false" ht="10.5" hidden="false" customHeight="true" outlineLevel="0" collapsed="false">
      <c r="A301" s="100" t="n">
        <v>298</v>
      </c>
      <c r="B301" s="103" t="s">
        <v>1192</v>
      </c>
    </row>
    <row r="302" customFormat="false" ht="10.5" hidden="false" customHeight="true" outlineLevel="0" collapsed="false">
      <c r="A302" s="100" t="n">
        <v>299</v>
      </c>
      <c r="B302" s="103" t="s">
        <v>1129</v>
      </c>
    </row>
    <row r="303" customFormat="false" ht="10.5" hidden="false" customHeight="true" outlineLevel="0" collapsed="false">
      <c r="A303" s="100" t="n">
        <v>300</v>
      </c>
      <c r="B303" s="103" t="s">
        <v>1193</v>
      </c>
    </row>
    <row r="304" customFormat="false" ht="10.5" hidden="false" customHeight="true" outlineLevel="0" collapsed="false">
      <c r="A304" s="100" t="n">
        <v>301</v>
      </c>
      <c r="B304" s="103" t="s">
        <v>1194</v>
      </c>
    </row>
    <row r="305" customFormat="false" ht="10.5" hidden="false" customHeight="true" outlineLevel="0" collapsed="false">
      <c r="A305" s="100" t="n">
        <v>302</v>
      </c>
      <c r="B305" s="103"/>
    </row>
    <row r="306" customFormat="false" ht="10.5" hidden="false" customHeight="true" outlineLevel="0" collapsed="false">
      <c r="A306" s="100" t="n">
        <v>303</v>
      </c>
      <c r="B306" s="103" t="s">
        <v>1134</v>
      </c>
    </row>
    <row r="307" customFormat="false" ht="10.5" hidden="false" customHeight="true" outlineLevel="0" collapsed="false">
      <c r="A307" s="100" t="n">
        <v>304</v>
      </c>
      <c r="B307" s="103" t="s">
        <v>1195</v>
      </c>
    </row>
    <row r="308" customFormat="false" ht="10.5" hidden="false" customHeight="true" outlineLevel="0" collapsed="false">
      <c r="A308" s="100" t="n">
        <v>305</v>
      </c>
      <c r="B308" s="103" t="s">
        <v>1196</v>
      </c>
    </row>
    <row r="309" customFormat="false" ht="10.5" hidden="false" customHeight="true" outlineLevel="0" collapsed="false">
      <c r="A309" s="100" t="n">
        <v>306</v>
      </c>
      <c r="B309" s="103" t="s">
        <v>1067</v>
      </c>
    </row>
    <row r="310" customFormat="false" ht="10.5" hidden="false" customHeight="true" outlineLevel="0" collapsed="false">
      <c r="A310" s="100" t="n">
        <v>307</v>
      </c>
      <c r="B310" s="103"/>
    </row>
    <row r="311" customFormat="false" ht="10.5" hidden="false" customHeight="true" outlineLevel="0" collapsed="false">
      <c r="A311" s="100" t="n">
        <v>308</v>
      </c>
      <c r="B311" s="103" t="s">
        <v>1137</v>
      </c>
    </row>
    <row r="312" customFormat="false" ht="10.5" hidden="false" customHeight="true" outlineLevel="0" collapsed="false">
      <c r="A312" s="100" t="n">
        <v>309</v>
      </c>
      <c r="B312" s="103" t="s">
        <v>1138</v>
      </c>
    </row>
    <row r="313" customFormat="false" ht="10.5" hidden="false" customHeight="true" outlineLevel="0" collapsed="false">
      <c r="A313" s="100" t="n">
        <v>310</v>
      </c>
      <c r="B313" s="103" t="s">
        <v>1139</v>
      </c>
    </row>
    <row r="314" customFormat="false" ht="10.5" hidden="false" customHeight="true" outlineLevel="0" collapsed="false">
      <c r="A314" s="100" t="n">
        <v>311</v>
      </c>
      <c r="B314" s="103"/>
    </row>
    <row r="315" customFormat="false" ht="10.5" hidden="false" customHeight="true" outlineLevel="0" collapsed="false">
      <c r="A315" s="100" t="n">
        <v>312</v>
      </c>
      <c r="B315" s="103" t="s">
        <v>1197</v>
      </c>
    </row>
    <row r="316" customFormat="false" ht="10.5" hidden="false" customHeight="true" outlineLevel="0" collapsed="false">
      <c r="A316" s="100" t="n">
        <v>313</v>
      </c>
      <c r="B316" s="103" t="s">
        <v>1141</v>
      </c>
    </row>
    <row r="317" customFormat="false" ht="10.5" hidden="false" customHeight="true" outlineLevel="0" collapsed="false">
      <c r="A317" s="100" t="n">
        <v>314</v>
      </c>
      <c r="B317" s="103" t="s">
        <v>1198</v>
      </c>
    </row>
    <row r="318" customFormat="false" ht="10.5" hidden="false" customHeight="true" outlineLevel="0" collapsed="false">
      <c r="A318" s="100" t="n">
        <v>315</v>
      </c>
      <c r="B318" s="103" t="s">
        <v>1199</v>
      </c>
    </row>
    <row r="319" customFormat="false" ht="10.5" hidden="false" customHeight="true" outlineLevel="0" collapsed="false">
      <c r="A319" s="100" t="n">
        <v>316</v>
      </c>
      <c r="B319" s="103" t="s">
        <v>1067</v>
      </c>
    </row>
    <row r="320" customFormat="false" ht="10.5" hidden="false" customHeight="true" outlineLevel="0" collapsed="false">
      <c r="A320" s="100" t="n">
        <v>317</v>
      </c>
      <c r="B320" s="103"/>
    </row>
    <row r="321" customFormat="false" ht="10.5" hidden="false" customHeight="true" outlineLevel="0" collapsed="false">
      <c r="A321" s="100" t="n">
        <v>318</v>
      </c>
      <c r="B321" s="103" t="s">
        <v>1145</v>
      </c>
    </row>
    <row r="322" customFormat="false" ht="10.5" hidden="false" customHeight="true" outlineLevel="0" collapsed="false">
      <c r="A322" s="100" t="n">
        <v>319</v>
      </c>
      <c r="B322" s="103" t="s">
        <v>1146</v>
      </c>
    </row>
    <row r="323" customFormat="false" ht="10.5" hidden="false" customHeight="true" outlineLevel="0" collapsed="false">
      <c r="A323" s="100" t="n">
        <v>320</v>
      </c>
      <c r="B323" s="103" t="s">
        <v>1147</v>
      </c>
    </row>
    <row r="324" customFormat="false" ht="10.5" hidden="false" customHeight="true" outlineLevel="0" collapsed="false">
      <c r="A324" s="100" t="n">
        <v>321</v>
      </c>
      <c r="B324" s="103"/>
    </row>
    <row r="325" customFormat="false" ht="10.5" hidden="false" customHeight="true" outlineLevel="0" collapsed="false">
      <c r="A325" s="100" t="n">
        <v>322</v>
      </c>
      <c r="B325" s="103" t="s">
        <v>1200</v>
      </c>
    </row>
    <row r="326" customFormat="false" ht="10.5" hidden="false" customHeight="true" outlineLevel="0" collapsed="false">
      <c r="A326" s="100" t="n">
        <v>323</v>
      </c>
      <c r="B326" s="103" t="s">
        <v>1159</v>
      </c>
    </row>
    <row r="327" customFormat="false" ht="10.5" hidden="false" customHeight="true" outlineLevel="0" collapsed="false">
      <c r="A327" s="100" t="n">
        <v>324</v>
      </c>
      <c r="B327" s="103"/>
    </row>
    <row r="328" customFormat="false" ht="10.5" hidden="false" customHeight="true" outlineLevel="0" collapsed="false">
      <c r="A328" s="100" t="n">
        <v>325</v>
      </c>
      <c r="B328" s="103" t="s">
        <v>1201</v>
      </c>
    </row>
    <row r="329" customFormat="false" ht="10.5" hidden="false" customHeight="true" outlineLevel="0" collapsed="false">
      <c r="A329" s="100" t="n">
        <v>326</v>
      </c>
      <c r="B329" s="103" t="s">
        <v>1202</v>
      </c>
    </row>
    <row r="330" customFormat="false" ht="10.5" hidden="false" customHeight="true" outlineLevel="0" collapsed="false">
      <c r="A330" s="100" t="n">
        <v>327</v>
      </c>
      <c r="B330" s="102" t="s">
        <v>1203</v>
      </c>
    </row>
    <row r="331" customFormat="false" ht="10.5" hidden="false" customHeight="true" outlineLevel="0" collapsed="false">
      <c r="A331" s="100" t="n">
        <v>328</v>
      </c>
      <c r="B331" s="102" t="s">
        <v>1204</v>
      </c>
    </row>
    <row r="332" customFormat="false" ht="10.5" hidden="false" customHeight="true" outlineLevel="0" collapsed="false">
      <c r="A332" s="100" t="n">
        <v>329</v>
      </c>
      <c r="B332" s="103" t="s">
        <v>1205</v>
      </c>
    </row>
    <row r="333" customFormat="false" ht="10.5" hidden="false" customHeight="true" outlineLevel="0" collapsed="false">
      <c r="A333" s="100" t="n">
        <v>330</v>
      </c>
      <c r="B333" s="103" t="s">
        <v>1206</v>
      </c>
    </row>
    <row r="334" customFormat="false" ht="10.5" hidden="false" customHeight="true" outlineLevel="0" collapsed="false">
      <c r="A334" s="100" t="n">
        <v>331</v>
      </c>
      <c r="B334" s="103" t="s">
        <v>1207</v>
      </c>
    </row>
    <row r="335" customFormat="false" ht="10.5" hidden="false" customHeight="true" outlineLevel="0" collapsed="false">
      <c r="A335" s="100" t="n">
        <v>332</v>
      </c>
      <c r="B335" s="103" t="s">
        <v>1208</v>
      </c>
    </row>
    <row r="336" customFormat="false" ht="10.5" hidden="false" customHeight="true" outlineLevel="0" collapsed="false">
      <c r="A336" s="100" t="n">
        <v>333</v>
      </c>
      <c r="B336" s="103" t="s">
        <v>1209</v>
      </c>
    </row>
    <row r="337" customFormat="false" ht="10.5" hidden="false" customHeight="true" outlineLevel="0" collapsed="false">
      <c r="A337" s="100" t="n">
        <v>334</v>
      </c>
      <c r="B337" s="103" t="s">
        <v>1210</v>
      </c>
    </row>
    <row r="338" customFormat="false" ht="10.5" hidden="false" customHeight="true" outlineLevel="0" collapsed="false">
      <c r="A338" s="100" t="n">
        <v>335</v>
      </c>
      <c r="B338" s="103" t="s">
        <v>1211</v>
      </c>
    </row>
    <row r="339" customFormat="false" ht="10.5" hidden="false" customHeight="true" outlineLevel="0" collapsed="false">
      <c r="A339" s="100" t="n">
        <v>336</v>
      </c>
      <c r="B339" s="103" t="s">
        <v>1212</v>
      </c>
    </row>
    <row r="340" customFormat="false" ht="10.5" hidden="false" customHeight="true" outlineLevel="0" collapsed="false">
      <c r="A340" s="100" t="n">
        <v>337</v>
      </c>
      <c r="B340" s="103" t="s">
        <v>1213</v>
      </c>
    </row>
    <row r="341" customFormat="false" ht="10.5" hidden="false" customHeight="true" outlineLevel="0" collapsed="false">
      <c r="A341" s="100" t="n">
        <v>338</v>
      </c>
      <c r="B341" s="103" t="s">
        <v>1214</v>
      </c>
    </row>
    <row r="342" customFormat="false" ht="10.5" hidden="false" customHeight="true" outlineLevel="0" collapsed="false">
      <c r="A342" s="100" t="n">
        <v>339</v>
      </c>
      <c r="B342" s="103" t="s">
        <v>1175</v>
      </c>
    </row>
    <row r="343" customFormat="false" ht="10.5" hidden="false" customHeight="true" outlineLevel="0" collapsed="false">
      <c r="A343" s="100" t="n">
        <v>340</v>
      </c>
      <c r="B343" s="103" t="s">
        <v>1215</v>
      </c>
    </row>
    <row r="344" customFormat="false" ht="10.5" hidden="false" customHeight="true" outlineLevel="0" collapsed="false">
      <c r="A344" s="100" t="n">
        <v>341</v>
      </c>
      <c r="B344" s="103"/>
    </row>
    <row r="345" customFormat="false" ht="10.5" hidden="false" customHeight="true" outlineLevel="0" collapsed="false">
      <c r="A345" s="100" t="n">
        <v>342</v>
      </c>
      <c r="B345" s="103" t="s">
        <v>1216</v>
      </c>
    </row>
    <row r="346" customFormat="false" ht="10.5" hidden="false" customHeight="true" outlineLevel="0" collapsed="false">
      <c r="A346" s="100" t="n">
        <v>343</v>
      </c>
      <c r="B346" s="103" t="s">
        <v>1178</v>
      </c>
    </row>
    <row r="347" customFormat="false" ht="10.5" hidden="false" customHeight="true" outlineLevel="0" collapsed="false">
      <c r="A347" s="100" t="n">
        <v>344</v>
      </c>
      <c r="B347" s="103" t="s">
        <v>1179</v>
      </c>
    </row>
    <row r="348" customFormat="false" ht="10.5" hidden="false" customHeight="true" outlineLevel="0" collapsed="false">
      <c r="A348" s="100" t="n">
        <v>345</v>
      </c>
      <c r="B348" s="103" t="s">
        <v>1217</v>
      </c>
    </row>
    <row r="349" customFormat="false" ht="10.5" hidden="false" customHeight="true" outlineLevel="0" collapsed="false">
      <c r="A349" s="100" t="n">
        <v>346</v>
      </c>
      <c r="B349" s="103" t="s">
        <v>1184</v>
      </c>
    </row>
    <row r="350" customFormat="false" ht="10.5" hidden="false" customHeight="true" outlineLevel="0" collapsed="false">
      <c r="A350" s="100" t="n">
        <v>347</v>
      </c>
      <c r="B350" s="103"/>
    </row>
    <row r="351" customFormat="false" ht="10.5" hidden="false" customHeight="true" outlineLevel="0" collapsed="false">
      <c r="A351" s="100" t="n">
        <v>348</v>
      </c>
      <c r="B351" s="103" t="s">
        <v>1185</v>
      </c>
    </row>
    <row r="352" customFormat="false" ht="10.5" hidden="false" customHeight="true" outlineLevel="0" collapsed="false">
      <c r="A352" s="100" t="n">
        <v>349</v>
      </c>
      <c r="B352" s="103" t="s">
        <v>1186</v>
      </c>
    </row>
    <row r="353" customFormat="false" ht="10.5" hidden="false" customHeight="true" outlineLevel="0" collapsed="false">
      <c r="A353" s="100" t="n">
        <v>350</v>
      </c>
      <c r="B353" s="103" t="s">
        <v>1218</v>
      </c>
    </row>
    <row r="354" customFormat="false" ht="10.5" hidden="false" customHeight="true" outlineLevel="0" collapsed="false">
      <c r="A354" s="100" t="n">
        <v>351</v>
      </c>
      <c r="B354" s="103" t="s">
        <v>1113</v>
      </c>
    </row>
    <row r="355" customFormat="false" ht="10.5" hidden="false" customHeight="true" outlineLevel="0" collapsed="false">
      <c r="A355" s="100" t="n">
        <v>352</v>
      </c>
      <c r="B355" s="103"/>
    </row>
    <row r="356" customFormat="false" ht="10.5" hidden="false" customHeight="true" outlineLevel="0" collapsed="false">
      <c r="A356" s="100" t="n">
        <v>353</v>
      </c>
      <c r="B356" s="102" t="s">
        <v>1039</v>
      </c>
    </row>
    <row r="357" customFormat="false" ht="10.5" hidden="false" customHeight="true" outlineLevel="0" collapsed="false">
      <c r="A357" s="100" t="n">
        <v>354</v>
      </c>
      <c r="B357" s="102" t="s">
        <v>1219</v>
      </c>
    </row>
    <row r="358" customFormat="false" ht="10.5" hidden="false" customHeight="true" outlineLevel="0" collapsed="false">
      <c r="A358" s="100" t="n">
        <v>355</v>
      </c>
      <c r="B358" s="102" t="s">
        <v>1220</v>
      </c>
    </row>
    <row r="359" customFormat="false" ht="10.5" hidden="false" customHeight="true" outlineLevel="0" collapsed="false">
      <c r="A359" s="100" t="n">
        <v>356</v>
      </c>
      <c r="B359" s="102" t="s">
        <v>1221</v>
      </c>
    </row>
    <row r="360" customFormat="false" ht="10.5" hidden="false" customHeight="true" outlineLevel="0" collapsed="false">
      <c r="A360" s="100" t="n">
        <v>357</v>
      </c>
      <c r="B360" s="102" t="s">
        <v>1039</v>
      </c>
    </row>
    <row r="361" customFormat="false" ht="10.5" hidden="false" customHeight="true" outlineLevel="0" collapsed="false">
      <c r="A361" s="100" t="n">
        <v>358</v>
      </c>
      <c r="B361" s="103" t="s">
        <v>1222</v>
      </c>
    </row>
    <row r="362" customFormat="false" ht="10.5" hidden="false" customHeight="true" outlineLevel="0" collapsed="false">
      <c r="A362" s="100" t="n">
        <v>359</v>
      </c>
      <c r="B362" s="103" t="s">
        <v>1223</v>
      </c>
    </row>
    <row r="363" customFormat="false" ht="10.5" hidden="false" customHeight="true" outlineLevel="0" collapsed="false">
      <c r="A363" s="100" t="n">
        <v>360</v>
      </c>
      <c r="B363" s="103" t="s">
        <v>1224</v>
      </c>
    </row>
    <row r="364" customFormat="false" ht="10.5" hidden="false" customHeight="true" outlineLevel="0" collapsed="false">
      <c r="A364" s="100" t="n">
        <v>361</v>
      </c>
      <c r="B364" s="103" t="s">
        <v>1225</v>
      </c>
    </row>
    <row r="365" customFormat="false" ht="10.5" hidden="false" customHeight="true" outlineLevel="0" collapsed="false">
      <c r="A365" s="100" t="n">
        <v>362</v>
      </c>
      <c r="B365" s="103" t="s">
        <v>1226</v>
      </c>
    </row>
    <row r="366" customFormat="false" ht="10.5" hidden="false" customHeight="true" outlineLevel="0" collapsed="false">
      <c r="A366" s="100" t="n">
        <v>363</v>
      </c>
      <c r="B366" s="103" t="s">
        <v>1227</v>
      </c>
    </row>
    <row r="367" customFormat="false" ht="10.5" hidden="false" customHeight="true" outlineLevel="0" collapsed="false">
      <c r="A367" s="100" t="n">
        <v>364</v>
      </c>
      <c r="B367" s="103" t="s">
        <v>1228</v>
      </c>
    </row>
    <row r="368" customFormat="false" ht="10.5" hidden="false" customHeight="true" outlineLevel="0" collapsed="false">
      <c r="A368" s="100" t="n">
        <v>365</v>
      </c>
      <c r="B368" s="103" t="s">
        <v>1229</v>
      </c>
    </row>
    <row r="369" customFormat="false" ht="10.5" hidden="false" customHeight="true" outlineLevel="0" collapsed="false">
      <c r="A369" s="100" t="n">
        <v>366</v>
      </c>
      <c r="B369" s="103" t="s">
        <v>1230</v>
      </c>
    </row>
    <row r="370" customFormat="false" ht="10.5" hidden="false" customHeight="true" outlineLevel="0" collapsed="false">
      <c r="A370" s="100" t="n">
        <v>367</v>
      </c>
      <c r="B370" s="103" t="s">
        <v>1176</v>
      </c>
    </row>
    <row r="371" customFormat="false" ht="10.5" hidden="false" customHeight="true" outlineLevel="0" collapsed="false">
      <c r="A371" s="100" t="n">
        <v>368</v>
      </c>
      <c r="B371" s="103" t="s">
        <v>1231</v>
      </c>
    </row>
    <row r="372" customFormat="false" ht="10.5" hidden="false" customHeight="true" outlineLevel="0" collapsed="false">
      <c r="A372" s="100" t="n">
        <v>369</v>
      </c>
      <c r="B372" s="103" t="s">
        <v>1113</v>
      </c>
    </row>
    <row r="373" customFormat="false" ht="10.5" hidden="false" customHeight="true" outlineLevel="0" collapsed="false">
      <c r="A373" s="100" t="n">
        <v>370</v>
      </c>
      <c r="B373" s="103"/>
    </row>
    <row r="374" customFormat="false" ht="10.5" hidden="false" customHeight="true" outlineLevel="0" collapsed="false">
      <c r="A374" s="100" t="n">
        <v>371</v>
      </c>
      <c r="B374" s="103" t="s">
        <v>1232</v>
      </c>
    </row>
    <row r="375" customFormat="false" ht="10.5" hidden="false" customHeight="true" outlineLevel="0" collapsed="false">
      <c r="A375" s="100" t="n">
        <v>372</v>
      </c>
      <c r="B375" s="103" t="s">
        <v>1233</v>
      </c>
    </row>
    <row r="376" customFormat="false" ht="10.5" hidden="false" customHeight="true" outlineLevel="0" collapsed="false">
      <c r="A376" s="100" t="n">
        <v>373</v>
      </c>
      <c r="B376" s="103" t="s">
        <v>1234</v>
      </c>
    </row>
    <row r="377" customFormat="false" ht="10.5" hidden="false" customHeight="true" outlineLevel="0" collapsed="false">
      <c r="A377" s="100" t="n">
        <v>374</v>
      </c>
      <c r="B377" s="103" t="s">
        <v>1235</v>
      </c>
    </row>
    <row r="378" customFormat="false" ht="10.5" hidden="false" customHeight="true" outlineLevel="0" collapsed="false">
      <c r="A378" s="100" t="n">
        <v>375</v>
      </c>
      <c r="B378" s="103" t="s">
        <v>1236</v>
      </c>
    </row>
    <row r="379" customFormat="false" ht="10.5" hidden="false" customHeight="true" outlineLevel="0" collapsed="false">
      <c r="A379" s="100" t="n">
        <v>376</v>
      </c>
      <c r="B379" s="103" t="s">
        <v>1237</v>
      </c>
    </row>
    <row r="380" customFormat="false" ht="10.5" hidden="false" customHeight="true" outlineLevel="0" collapsed="false">
      <c r="A380" s="100" t="n">
        <v>377</v>
      </c>
      <c r="B380" s="103" t="s">
        <v>1175</v>
      </c>
    </row>
    <row r="381" customFormat="false" ht="10.5" hidden="false" customHeight="true" outlineLevel="0" collapsed="false">
      <c r="A381" s="100" t="n">
        <v>378</v>
      </c>
      <c r="B381" s="103" t="s">
        <v>1215</v>
      </c>
    </row>
    <row r="382" customFormat="false" ht="10.5" hidden="false" customHeight="true" outlineLevel="0" collapsed="false">
      <c r="A382" s="100" t="n">
        <v>379</v>
      </c>
      <c r="B382" s="103" t="s">
        <v>1238</v>
      </c>
    </row>
    <row r="383" customFormat="false" ht="10.5" hidden="false" customHeight="true" outlineLevel="0" collapsed="false">
      <c r="A383" s="100" t="n">
        <v>380</v>
      </c>
      <c r="B383" s="103" t="s">
        <v>1113</v>
      </c>
    </row>
    <row r="384" customFormat="false" ht="10.5" hidden="false" customHeight="true" outlineLevel="0" collapsed="false">
      <c r="A384" s="100" t="n">
        <v>381</v>
      </c>
      <c r="B384" s="103"/>
    </row>
    <row r="385" customFormat="false" ht="10.5" hidden="false" customHeight="true" outlineLevel="0" collapsed="false">
      <c r="A385" s="100" t="n">
        <v>382</v>
      </c>
      <c r="B385" s="103" t="s">
        <v>1239</v>
      </c>
    </row>
    <row r="386" customFormat="false" ht="10.5" hidden="false" customHeight="true" outlineLevel="0" collapsed="false">
      <c r="A386" s="100" t="n">
        <v>383</v>
      </c>
      <c r="B386" s="103" t="s">
        <v>1240</v>
      </c>
    </row>
    <row r="387" customFormat="false" ht="10.5" hidden="false" customHeight="true" outlineLevel="0" collapsed="false">
      <c r="A387" s="100" t="n">
        <v>384</v>
      </c>
      <c r="B387" s="103" t="s">
        <v>1241</v>
      </c>
    </row>
    <row r="388" customFormat="false" ht="10.5" hidden="false" customHeight="true" outlineLevel="0" collapsed="false">
      <c r="A388" s="100" t="n">
        <v>385</v>
      </c>
      <c r="B388" s="103" t="s">
        <v>1113</v>
      </c>
    </row>
    <row r="389" customFormat="false" ht="10.5" hidden="false" customHeight="true" outlineLevel="0" collapsed="false">
      <c r="A389" s="100" t="n">
        <v>386</v>
      </c>
      <c r="B389" s="103"/>
    </row>
    <row r="390" customFormat="false" ht="10.5" hidden="false" customHeight="true" outlineLevel="0" collapsed="false">
      <c r="A390" s="100" t="n">
        <v>387</v>
      </c>
      <c r="B390" s="103"/>
    </row>
    <row r="391" customFormat="false" ht="10.5" hidden="false" customHeight="true" outlineLevel="0" collapsed="false">
      <c r="A391" s="100" t="n">
        <v>388</v>
      </c>
      <c r="B391" s="101" t="s">
        <v>1242</v>
      </c>
    </row>
    <row r="392" customFormat="false" ht="10.5" hidden="false" customHeight="true" outlineLevel="0" collapsed="false">
      <c r="A392" s="100" t="n">
        <v>389</v>
      </c>
      <c r="B392" s="103" t="s">
        <v>1017</v>
      </c>
    </row>
    <row r="393" customFormat="false" ht="10.5" hidden="false" customHeight="true" outlineLevel="0" collapsed="false">
      <c r="A393" s="100" t="n">
        <v>390</v>
      </c>
      <c r="B393" s="103"/>
    </row>
    <row r="394" customFormat="false" ht="10.5" hidden="false" customHeight="true" outlineLevel="0" collapsed="false">
      <c r="A394" s="100" t="n">
        <v>391</v>
      </c>
      <c r="B394" s="102" t="s">
        <v>1039</v>
      </c>
    </row>
    <row r="395" customFormat="false" ht="10.5" hidden="false" customHeight="true" outlineLevel="0" collapsed="false">
      <c r="A395" s="100" t="n">
        <v>392</v>
      </c>
      <c r="B395" s="102" t="s">
        <v>1243</v>
      </c>
    </row>
    <row r="396" customFormat="false" ht="10.5" hidden="false" customHeight="true" outlineLevel="0" collapsed="false">
      <c r="A396" s="100" t="n">
        <v>393</v>
      </c>
      <c r="B396" s="102" t="s">
        <v>1244</v>
      </c>
    </row>
    <row r="397" customFormat="false" ht="10.5" hidden="false" customHeight="true" outlineLevel="0" collapsed="false">
      <c r="A397" s="100" t="n">
        <v>394</v>
      </c>
      <c r="B397" s="102" t="s">
        <v>1245</v>
      </c>
    </row>
    <row r="398" customFormat="false" ht="10.5" hidden="false" customHeight="true" outlineLevel="0" collapsed="false">
      <c r="A398" s="100" t="n">
        <v>395</v>
      </c>
      <c r="B398" s="102" t="s">
        <v>1246</v>
      </c>
    </row>
    <row r="399" customFormat="false" ht="10.5" hidden="false" customHeight="true" outlineLevel="0" collapsed="false">
      <c r="A399" s="100" t="n">
        <v>396</v>
      </c>
      <c r="B399" s="102" t="s">
        <v>1247</v>
      </c>
    </row>
    <row r="400" customFormat="false" ht="10.5" hidden="false" customHeight="true" outlineLevel="0" collapsed="false">
      <c r="A400" s="100" t="n">
        <v>397</v>
      </c>
      <c r="B400" s="102" t="s">
        <v>1248</v>
      </c>
    </row>
    <row r="401" customFormat="false" ht="10.5" hidden="false" customHeight="true" outlineLevel="0" collapsed="false">
      <c r="A401" s="100" t="n">
        <v>398</v>
      </c>
      <c r="B401" s="102" t="s">
        <v>1249</v>
      </c>
    </row>
    <row r="402" customFormat="false" ht="10.5" hidden="false" customHeight="true" outlineLevel="0" collapsed="false">
      <c r="A402" s="100" t="n">
        <v>399</v>
      </c>
      <c r="B402" s="102" t="s">
        <v>1250</v>
      </c>
    </row>
    <row r="403" customFormat="false" ht="10.5" hidden="false" customHeight="true" outlineLevel="0" collapsed="false">
      <c r="A403" s="100" t="n">
        <v>400</v>
      </c>
      <c r="B403" s="102" t="s">
        <v>1251</v>
      </c>
    </row>
    <row r="404" customFormat="false" ht="10.5" hidden="false" customHeight="true" outlineLevel="0" collapsed="false">
      <c r="A404" s="100" t="n">
        <v>401</v>
      </c>
      <c r="B404" s="102" t="s">
        <v>999</v>
      </c>
    </row>
    <row r="405" customFormat="false" ht="10.5" hidden="false" customHeight="true" outlineLevel="0" collapsed="false">
      <c r="A405" s="100" t="n">
        <v>402</v>
      </c>
      <c r="B405" s="102" t="s">
        <v>1252</v>
      </c>
    </row>
    <row r="406" customFormat="false" ht="10.5" hidden="false" customHeight="true" outlineLevel="0" collapsed="false">
      <c r="A406" s="100" t="n">
        <v>403</v>
      </c>
      <c r="B406" s="102" t="s">
        <v>1253</v>
      </c>
    </row>
    <row r="407" customFormat="false" ht="10.5" hidden="false" customHeight="true" outlineLevel="0" collapsed="false">
      <c r="A407" s="100" t="n">
        <v>404</v>
      </c>
      <c r="B407" s="102" t="s">
        <v>1254</v>
      </c>
    </row>
    <row r="408" customFormat="false" ht="10.5" hidden="false" customHeight="true" outlineLevel="0" collapsed="false">
      <c r="A408" s="100" t="n">
        <v>405</v>
      </c>
      <c r="B408" s="102" t="s">
        <v>1255</v>
      </c>
    </row>
    <row r="409" customFormat="false" ht="10.5" hidden="false" customHeight="true" outlineLevel="0" collapsed="false">
      <c r="A409" s="100" t="n">
        <v>406</v>
      </c>
      <c r="B409" s="102" t="s">
        <v>1039</v>
      </c>
    </row>
    <row r="410" customFormat="false" ht="10.5" hidden="false" customHeight="true" outlineLevel="0" collapsed="false">
      <c r="A410" s="100" t="n">
        <v>407</v>
      </c>
      <c r="B410" s="103" t="s">
        <v>1256</v>
      </c>
    </row>
    <row r="411" customFormat="false" ht="10.5" hidden="false" customHeight="true" outlineLevel="0" collapsed="false">
      <c r="A411" s="100" t="n">
        <v>408</v>
      </c>
      <c r="B411" s="103" t="s">
        <v>1257</v>
      </c>
    </row>
    <row r="412" customFormat="false" ht="10.5" hidden="false" customHeight="true" outlineLevel="0" collapsed="false">
      <c r="A412" s="100" t="n">
        <v>409</v>
      </c>
      <c r="B412" s="103" t="s">
        <v>1258</v>
      </c>
    </row>
    <row r="413" customFormat="false" ht="10.5" hidden="false" customHeight="true" outlineLevel="0" collapsed="false">
      <c r="A413" s="100" t="n">
        <v>410</v>
      </c>
      <c r="B413" s="103"/>
    </row>
    <row r="414" customFormat="false" ht="10.5" hidden="false" customHeight="true" outlineLevel="0" collapsed="false">
      <c r="A414" s="100" t="n">
        <v>411</v>
      </c>
      <c r="B414" s="103" t="s">
        <v>1259</v>
      </c>
    </row>
    <row r="415" customFormat="false" ht="10.5" hidden="false" customHeight="true" outlineLevel="0" collapsed="false">
      <c r="A415" s="100" t="n">
        <v>412</v>
      </c>
      <c r="B415" s="103" t="s">
        <v>1260</v>
      </c>
    </row>
    <row r="416" customFormat="false" ht="10.5" hidden="false" customHeight="true" outlineLevel="0" collapsed="false">
      <c r="A416" s="100" t="n">
        <v>413</v>
      </c>
      <c r="B416" s="103" t="s">
        <v>1132</v>
      </c>
    </row>
    <row r="417" customFormat="false" ht="10.5" hidden="false" customHeight="true" outlineLevel="0" collapsed="false">
      <c r="A417" s="100" t="n">
        <v>414</v>
      </c>
      <c r="B417" s="103" t="s">
        <v>1261</v>
      </c>
    </row>
    <row r="418" customFormat="false" ht="10.5" hidden="false" customHeight="true" outlineLevel="0" collapsed="false">
      <c r="A418" s="100" t="n">
        <v>415</v>
      </c>
      <c r="B418" s="103" t="s">
        <v>1262</v>
      </c>
    </row>
    <row r="419" customFormat="false" ht="10.5" hidden="false" customHeight="true" outlineLevel="0" collapsed="false">
      <c r="A419" s="100" t="n">
        <v>416</v>
      </c>
      <c r="B419" s="103" t="s">
        <v>1263</v>
      </c>
    </row>
    <row r="420" customFormat="false" ht="10.5" hidden="false" customHeight="true" outlineLevel="0" collapsed="false">
      <c r="A420" s="100" t="n">
        <v>417</v>
      </c>
      <c r="B420" s="103"/>
    </row>
    <row r="421" customFormat="false" ht="10.5" hidden="false" customHeight="true" outlineLevel="0" collapsed="false">
      <c r="A421" s="100" t="n">
        <v>418</v>
      </c>
      <c r="B421" s="103" t="s">
        <v>1264</v>
      </c>
    </row>
    <row r="422" customFormat="false" ht="10.5" hidden="false" customHeight="true" outlineLevel="0" collapsed="false">
      <c r="A422" s="100" t="n">
        <v>419</v>
      </c>
      <c r="B422" s="103" t="s">
        <v>1265</v>
      </c>
    </row>
    <row r="423" customFormat="false" ht="10.5" hidden="false" customHeight="true" outlineLevel="0" collapsed="false">
      <c r="A423" s="100" t="n">
        <v>420</v>
      </c>
      <c r="B423" s="103" t="s">
        <v>1266</v>
      </c>
    </row>
    <row r="424" customFormat="false" ht="10.5" hidden="false" customHeight="true" outlineLevel="0" collapsed="false">
      <c r="A424" s="100" t="n">
        <v>421</v>
      </c>
      <c r="B424" s="103" t="s">
        <v>1267</v>
      </c>
    </row>
    <row r="425" customFormat="false" ht="10.5" hidden="false" customHeight="true" outlineLevel="0" collapsed="false">
      <c r="A425" s="100" t="n">
        <v>422</v>
      </c>
      <c r="B425" s="103"/>
    </row>
    <row r="426" customFormat="false" ht="10.5" hidden="false" customHeight="true" outlineLevel="0" collapsed="false">
      <c r="A426" s="100" t="n">
        <v>423</v>
      </c>
      <c r="B426" s="103" t="s">
        <v>1268</v>
      </c>
    </row>
    <row r="427" customFormat="false" ht="10.5" hidden="false" customHeight="true" outlineLevel="0" collapsed="false">
      <c r="A427" s="100" t="n">
        <v>424</v>
      </c>
      <c r="B427" s="103" t="s">
        <v>1159</v>
      </c>
    </row>
    <row r="428" customFormat="false" ht="10.5" hidden="false" customHeight="true" outlineLevel="0" collapsed="false">
      <c r="A428" s="100" t="n">
        <v>425</v>
      </c>
      <c r="B428" s="103" t="s">
        <v>1269</v>
      </c>
    </row>
    <row r="429" customFormat="false" ht="10.5" hidden="false" customHeight="true" outlineLevel="0" collapsed="false">
      <c r="A429" s="100" t="n">
        <v>426</v>
      </c>
      <c r="B429" s="103" t="s">
        <v>1160</v>
      </c>
    </row>
    <row r="430" customFormat="false" ht="10.5" hidden="false" customHeight="true" outlineLevel="0" collapsed="false">
      <c r="A430" s="100" t="n">
        <v>427</v>
      </c>
      <c r="B430" s="103"/>
    </row>
    <row r="431" customFormat="false" ht="10.5" hidden="false" customHeight="true" outlineLevel="0" collapsed="false">
      <c r="A431" s="100" t="n">
        <v>428</v>
      </c>
      <c r="B431" s="103" t="s">
        <v>1270</v>
      </c>
    </row>
    <row r="432" customFormat="false" ht="10.5" hidden="false" customHeight="true" outlineLevel="0" collapsed="false">
      <c r="A432" s="100" t="n">
        <v>429</v>
      </c>
      <c r="B432" s="103" t="s">
        <v>1271</v>
      </c>
    </row>
    <row r="433" customFormat="false" ht="10.5" hidden="false" customHeight="true" outlineLevel="0" collapsed="false">
      <c r="A433" s="100" t="n">
        <v>430</v>
      </c>
      <c r="B433" s="103"/>
    </row>
    <row r="434" customFormat="false" ht="10.5" hidden="false" customHeight="true" outlineLevel="0" collapsed="false">
      <c r="A434" s="100" t="n">
        <v>431</v>
      </c>
      <c r="B434" s="103" t="s">
        <v>1272</v>
      </c>
    </row>
    <row r="435" customFormat="false" ht="10.5" hidden="false" customHeight="true" outlineLevel="0" collapsed="false">
      <c r="A435" s="100" t="n">
        <v>432</v>
      </c>
      <c r="B435" s="103" t="s">
        <v>1273</v>
      </c>
    </row>
    <row r="436" customFormat="false" ht="10.5" hidden="false" customHeight="true" outlineLevel="0" collapsed="false">
      <c r="A436" s="100" t="n">
        <v>433</v>
      </c>
      <c r="B436" s="103" t="s">
        <v>1274</v>
      </c>
    </row>
    <row r="437" customFormat="false" ht="10.5" hidden="false" customHeight="true" outlineLevel="0" collapsed="false">
      <c r="A437" s="100" t="n">
        <v>434</v>
      </c>
      <c r="B437" s="103" t="s">
        <v>1275</v>
      </c>
    </row>
    <row r="438" customFormat="false" ht="10.5" hidden="false" customHeight="true" outlineLevel="0" collapsed="false">
      <c r="A438" s="100" t="n">
        <v>435</v>
      </c>
      <c r="B438" s="103"/>
    </row>
    <row r="439" customFormat="false" ht="10.5" hidden="false" customHeight="true" outlineLevel="0" collapsed="false">
      <c r="A439" s="100" t="n">
        <v>436</v>
      </c>
      <c r="B439" s="103" t="s">
        <v>1276</v>
      </c>
    </row>
    <row r="440" customFormat="false" ht="10.5" hidden="false" customHeight="true" outlineLevel="0" collapsed="false">
      <c r="A440" s="100" t="n">
        <v>437</v>
      </c>
      <c r="B440" s="103" t="s">
        <v>1277</v>
      </c>
    </row>
    <row r="441" customFormat="false" ht="10.5" hidden="false" customHeight="true" outlineLevel="0" collapsed="false">
      <c r="A441" s="100" t="n">
        <v>438</v>
      </c>
      <c r="B441" s="103" t="s">
        <v>1278</v>
      </c>
    </row>
    <row r="442" customFormat="false" ht="10.5" hidden="false" customHeight="true" outlineLevel="0" collapsed="false">
      <c r="A442" s="100" t="n">
        <v>439</v>
      </c>
      <c r="B442" s="103" t="s">
        <v>1279</v>
      </c>
    </row>
    <row r="443" customFormat="false" ht="10.5" hidden="false" customHeight="true" outlineLevel="0" collapsed="false">
      <c r="A443" s="100" t="n">
        <v>440</v>
      </c>
      <c r="B443" s="103" t="s">
        <v>1175</v>
      </c>
    </row>
    <row r="444" customFormat="false" ht="10.5" hidden="false" customHeight="true" outlineLevel="0" collapsed="false">
      <c r="A444" s="100" t="n">
        <v>441</v>
      </c>
      <c r="B444" s="103"/>
    </row>
    <row r="445" customFormat="false" ht="10.5" hidden="false" customHeight="true" outlineLevel="0" collapsed="false">
      <c r="A445" s="100" t="n">
        <v>442</v>
      </c>
      <c r="B445" s="103" t="s">
        <v>1280</v>
      </c>
    </row>
    <row r="446" customFormat="false" ht="10.5" hidden="false" customHeight="true" outlineLevel="0" collapsed="false">
      <c r="A446" s="100" t="n">
        <v>443</v>
      </c>
      <c r="B446" s="103" t="s">
        <v>1281</v>
      </c>
    </row>
    <row r="447" customFormat="false" ht="10.5" hidden="false" customHeight="true" outlineLevel="0" collapsed="false">
      <c r="A447" s="100" t="n">
        <v>444</v>
      </c>
      <c r="B447" s="103" t="s">
        <v>1282</v>
      </c>
    </row>
    <row r="448" customFormat="false" ht="10.5" hidden="false" customHeight="true" outlineLevel="0" collapsed="false">
      <c r="A448" s="100" t="n">
        <v>445</v>
      </c>
      <c r="B448" s="103" t="s">
        <v>1283</v>
      </c>
    </row>
    <row r="449" customFormat="false" ht="10.5" hidden="false" customHeight="true" outlineLevel="0" collapsed="false">
      <c r="A449" s="100" t="n">
        <v>446</v>
      </c>
      <c r="B449" s="103" t="s">
        <v>1284</v>
      </c>
    </row>
    <row r="450" customFormat="false" ht="10.5" hidden="false" customHeight="true" outlineLevel="0" collapsed="false">
      <c r="A450" s="100" t="n">
        <v>447</v>
      </c>
      <c r="B450" s="103" t="s">
        <v>1175</v>
      </c>
    </row>
    <row r="451" customFormat="false" ht="10.5" hidden="false" customHeight="true" outlineLevel="0" collapsed="false">
      <c r="A451" s="100" t="n">
        <v>448</v>
      </c>
      <c r="B451" s="103"/>
    </row>
    <row r="452" customFormat="false" ht="10.5" hidden="false" customHeight="true" outlineLevel="0" collapsed="false">
      <c r="A452" s="100" t="n">
        <v>449</v>
      </c>
      <c r="B452" s="103" t="s">
        <v>1285</v>
      </c>
    </row>
    <row r="453" customFormat="false" ht="10.5" hidden="false" customHeight="true" outlineLevel="0" collapsed="false">
      <c r="A453" s="100" t="n">
        <v>450</v>
      </c>
      <c r="B453" s="103" t="s">
        <v>1286</v>
      </c>
    </row>
    <row r="454" customFormat="false" ht="10.5" hidden="false" customHeight="true" outlineLevel="0" collapsed="false">
      <c r="A454" s="100" t="n">
        <v>451</v>
      </c>
      <c r="B454" s="103" t="s">
        <v>1287</v>
      </c>
    </row>
    <row r="455" customFormat="false" ht="10.5" hidden="false" customHeight="true" outlineLevel="0" collapsed="false">
      <c r="A455" s="100" t="n">
        <v>452</v>
      </c>
      <c r="B455" s="103" t="s">
        <v>1282</v>
      </c>
    </row>
    <row r="456" customFormat="false" ht="10.5" hidden="false" customHeight="true" outlineLevel="0" collapsed="false">
      <c r="A456" s="100" t="n">
        <v>453</v>
      </c>
      <c r="B456" s="103" t="s">
        <v>1288</v>
      </c>
    </row>
    <row r="457" customFormat="false" ht="10.5" hidden="false" customHeight="true" outlineLevel="0" collapsed="false">
      <c r="A457" s="100" t="n">
        <v>454</v>
      </c>
      <c r="B457" s="103" t="s">
        <v>1175</v>
      </c>
    </row>
    <row r="458" customFormat="false" ht="10.5" hidden="false" customHeight="true" outlineLevel="0" collapsed="false">
      <c r="A458" s="100" t="n">
        <v>455</v>
      </c>
      <c r="B458" s="103"/>
    </row>
    <row r="459" customFormat="false" ht="10.5" hidden="false" customHeight="true" outlineLevel="0" collapsed="false">
      <c r="A459" s="100" t="n">
        <v>456</v>
      </c>
      <c r="B459" s="103" t="s">
        <v>1289</v>
      </c>
    </row>
    <row r="460" customFormat="false" ht="10.5" hidden="false" customHeight="true" outlineLevel="0" collapsed="false">
      <c r="A460" s="100" t="n">
        <v>457</v>
      </c>
      <c r="B460" s="103" t="s">
        <v>1290</v>
      </c>
    </row>
    <row r="461" customFormat="false" ht="10.5" hidden="false" customHeight="true" outlineLevel="0" collapsed="false">
      <c r="A461" s="100" t="n">
        <v>458</v>
      </c>
      <c r="B461" s="103" t="s">
        <v>1175</v>
      </c>
    </row>
    <row r="462" customFormat="false" ht="10.5" hidden="false" customHeight="true" outlineLevel="0" collapsed="false">
      <c r="A462" s="100" t="n">
        <v>459</v>
      </c>
      <c r="B462" s="103"/>
    </row>
    <row r="463" customFormat="false" ht="10.5" hidden="false" customHeight="true" outlineLevel="0" collapsed="false">
      <c r="A463" s="100" t="n">
        <v>460</v>
      </c>
      <c r="B463" s="103" t="s">
        <v>1291</v>
      </c>
    </row>
    <row r="464" customFormat="false" ht="10.5" hidden="false" customHeight="true" outlineLevel="0" collapsed="false">
      <c r="A464" s="100" t="n">
        <v>461</v>
      </c>
      <c r="B464" s="103" t="s">
        <v>1292</v>
      </c>
    </row>
    <row r="465" customFormat="false" ht="10.5" hidden="false" customHeight="true" outlineLevel="0" collapsed="false">
      <c r="A465" s="100" t="n">
        <v>462</v>
      </c>
      <c r="B465" s="103" t="s">
        <v>1175</v>
      </c>
    </row>
    <row r="466" customFormat="false" ht="10.5" hidden="false" customHeight="true" outlineLevel="0" collapsed="false">
      <c r="A466" s="100" t="n">
        <v>463</v>
      </c>
      <c r="B466" s="103"/>
    </row>
    <row r="467" customFormat="false" ht="10.5" hidden="false" customHeight="true" outlineLevel="0" collapsed="false">
      <c r="A467" s="100" t="n">
        <v>464</v>
      </c>
      <c r="B467" s="103" t="s">
        <v>1293</v>
      </c>
    </row>
    <row r="468" customFormat="false" ht="10.5" hidden="false" customHeight="true" outlineLevel="0" collapsed="false">
      <c r="A468" s="100" t="n">
        <v>465</v>
      </c>
      <c r="B468" s="103" t="s">
        <v>1294</v>
      </c>
    </row>
    <row r="469" customFormat="false" ht="10.5" hidden="false" customHeight="true" outlineLevel="0" collapsed="false">
      <c r="A469" s="100" t="n">
        <v>466</v>
      </c>
      <c r="B469" s="103" t="s">
        <v>1295</v>
      </c>
    </row>
    <row r="470" customFormat="false" ht="10.5" hidden="false" customHeight="true" outlineLevel="0" collapsed="false">
      <c r="A470" s="100" t="n">
        <v>467</v>
      </c>
      <c r="B470" s="103" t="s">
        <v>1296</v>
      </c>
    </row>
    <row r="471" customFormat="false" ht="10.5" hidden="false" customHeight="true" outlineLevel="0" collapsed="false">
      <c r="A471" s="100" t="n">
        <v>468</v>
      </c>
      <c r="B471" s="103" t="s">
        <v>1297</v>
      </c>
    </row>
    <row r="472" customFormat="false" ht="10.5" hidden="false" customHeight="true" outlineLevel="0" collapsed="false">
      <c r="A472" s="100" t="n">
        <v>469</v>
      </c>
      <c r="B472" s="103" t="s">
        <v>1298</v>
      </c>
    </row>
    <row r="473" customFormat="false" ht="10.5" hidden="false" customHeight="true" outlineLevel="0" collapsed="false">
      <c r="A473" s="100" t="n">
        <v>470</v>
      </c>
      <c r="B473" s="103" t="s">
        <v>1299</v>
      </c>
    </row>
    <row r="474" customFormat="false" ht="10.5" hidden="false" customHeight="true" outlineLevel="0" collapsed="false">
      <c r="A474" s="100" t="n">
        <v>471</v>
      </c>
      <c r="B474" s="103" t="s">
        <v>1300</v>
      </c>
    </row>
    <row r="475" customFormat="false" ht="10.5" hidden="false" customHeight="true" outlineLevel="0" collapsed="false">
      <c r="A475" s="100" t="n">
        <v>472</v>
      </c>
      <c r="B475" s="103" t="s">
        <v>1301</v>
      </c>
    </row>
    <row r="476" customFormat="false" ht="10.5" hidden="false" customHeight="true" outlineLevel="0" collapsed="false">
      <c r="A476" s="100" t="n">
        <v>473</v>
      </c>
      <c r="B476" s="103" t="s">
        <v>1302</v>
      </c>
    </row>
    <row r="477" customFormat="false" ht="10.5" hidden="false" customHeight="true" outlineLevel="0" collapsed="false">
      <c r="A477" s="100" t="n">
        <v>474</v>
      </c>
      <c r="B477" s="103" t="s">
        <v>1303</v>
      </c>
    </row>
    <row r="478" customFormat="false" ht="10.5" hidden="false" customHeight="true" outlineLevel="0" collapsed="false">
      <c r="A478" s="100" t="n">
        <v>475</v>
      </c>
      <c r="B478" s="103" t="s">
        <v>1176</v>
      </c>
    </row>
    <row r="479" customFormat="false" ht="10.5" hidden="false" customHeight="true" outlineLevel="0" collapsed="false">
      <c r="A479" s="100" t="n">
        <v>476</v>
      </c>
      <c r="B479" s="103"/>
    </row>
    <row r="480" customFormat="false" ht="10.5" hidden="false" customHeight="true" outlineLevel="0" collapsed="false">
      <c r="A480" s="100" t="n">
        <v>477</v>
      </c>
      <c r="B480" s="103" t="s">
        <v>1304</v>
      </c>
    </row>
    <row r="481" customFormat="false" ht="10.5" hidden="false" customHeight="true" outlineLevel="0" collapsed="false">
      <c r="A481" s="100" t="n">
        <v>478</v>
      </c>
      <c r="B481" s="103" t="s">
        <v>1305</v>
      </c>
    </row>
    <row r="482" customFormat="false" ht="10.5" hidden="false" customHeight="true" outlineLevel="0" collapsed="false">
      <c r="A482" s="100" t="n">
        <v>479</v>
      </c>
      <c r="B482" s="103" t="s">
        <v>1113</v>
      </c>
    </row>
    <row r="483" customFormat="false" ht="10.5" hidden="false" customHeight="true" outlineLevel="0" collapsed="false">
      <c r="A483" s="100" t="n">
        <v>480</v>
      </c>
      <c r="B483" s="103"/>
    </row>
    <row r="484" customFormat="false" ht="10.5" hidden="false" customHeight="true" outlineLevel="0" collapsed="false">
      <c r="A484" s="100" t="n">
        <v>481</v>
      </c>
      <c r="B484" s="102" t="s">
        <v>1039</v>
      </c>
    </row>
    <row r="485" customFormat="false" ht="10.5" hidden="false" customHeight="true" outlineLevel="0" collapsed="false">
      <c r="A485" s="100" t="n">
        <v>482</v>
      </c>
      <c r="B485" s="102" t="s">
        <v>1306</v>
      </c>
    </row>
    <row r="486" customFormat="false" ht="10.5" hidden="false" customHeight="true" outlineLevel="0" collapsed="false">
      <c r="A486" s="100" t="n">
        <v>483</v>
      </c>
      <c r="B486" s="102" t="s">
        <v>1307</v>
      </c>
    </row>
    <row r="487" customFormat="false" ht="10.5" hidden="false" customHeight="true" outlineLevel="0" collapsed="false">
      <c r="A487" s="100" t="n">
        <v>484</v>
      </c>
      <c r="B487" s="102" t="s">
        <v>1308</v>
      </c>
    </row>
    <row r="488" customFormat="false" ht="10.5" hidden="false" customHeight="true" outlineLevel="0" collapsed="false">
      <c r="A488" s="100" t="n">
        <v>485</v>
      </c>
      <c r="B488" s="102" t="s">
        <v>1039</v>
      </c>
    </row>
    <row r="489" customFormat="false" ht="10.5" hidden="false" customHeight="true" outlineLevel="0" collapsed="false">
      <c r="A489" s="100" t="n">
        <v>486</v>
      </c>
      <c r="B489" s="103" t="s">
        <v>1309</v>
      </c>
    </row>
    <row r="490" customFormat="false" ht="10.5" hidden="false" customHeight="true" outlineLevel="0" collapsed="false">
      <c r="A490" s="100" t="n">
        <v>487</v>
      </c>
      <c r="B490" s="103"/>
    </row>
    <row r="491" customFormat="false" ht="10.5" hidden="false" customHeight="true" outlineLevel="0" collapsed="false">
      <c r="A491" s="100" t="n">
        <v>488</v>
      </c>
      <c r="B491" s="103" t="s">
        <v>1310</v>
      </c>
    </row>
    <row r="492" customFormat="false" ht="10.5" hidden="false" customHeight="true" outlineLevel="0" collapsed="false">
      <c r="A492" s="100" t="n">
        <v>489</v>
      </c>
      <c r="B492" s="103" t="s">
        <v>1311</v>
      </c>
    </row>
    <row r="493" customFormat="false" ht="10.5" hidden="false" customHeight="true" outlineLevel="0" collapsed="false">
      <c r="A493" s="100" t="n">
        <v>490</v>
      </c>
      <c r="B493" s="103"/>
    </row>
    <row r="494" customFormat="false" ht="10.5" hidden="false" customHeight="true" outlineLevel="0" collapsed="false">
      <c r="A494" s="100" t="n">
        <v>491</v>
      </c>
      <c r="B494" s="103" t="s">
        <v>1312</v>
      </c>
    </row>
    <row r="495" customFormat="false" ht="10.5" hidden="false" customHeight="true" outlineLevel="0" collapsed="false">
      <c r="A495" s="100" t="n">
        <v>492</v>
      </c>
      <c r="B495" s="103" t="s">
        <v>1313</v>
      </c>
    </row>
    <row r="496" customFormat="false" ht="10.5" hidden="false" customHeight="true" outlineLevel="0" collapsed="false">
      <c r="A496" s="100" t="n">
        <v>493</v>
      </c>
      <c r="B496" s="103" t="s">
        <v>1314</v>
      </c>
    </row>
    <row r="497" customFormat="false" ht="10.5" hidden="false" customHeight="true" outlineLevel="0" collapsed="false">
      <c r="A497" s="100" t="n">
        <v>494</v>
      </c>
      <c r="B497" s="103" t="s">
        <v>1315</v>
      </c>
    </row>
    <row r="498" customFormat="false" ht="10.5" hidden="false" customHeight="true" outlineLevel="0" collapsed="false">
      <c r="A498" s="100" t="n">
        <v>495</v>
      </c>
      <c r="B498" s="103"/>
    </row>
    <row r="499" customFormat="false" ht="10.5" hidden="false" customHeight="true" outlineLevel="0" collapsed="false">
      <c r="A499" s="100" t="n">
        <v>496</v>
      </c>
      <c r="B499" s="103" t="s">
        <v>1316</v>
      </c>
    </row>
    <row r="500" customFormat="false" ht="10.5" hidden="false" customHeight="true" outlineLevel="0" collapsed="false">
      <c r="A500" s="100" t="n">
        <v>497</v>
      </c>
      <c r="B500" s="103" t="s">
        <v>1317</v>
      </c>
    </row>
    <row r="501" customFormat="false" ht="10.5" hidden="false" customHeight="true" outlineLevel="0" collapsed="false">
      <c r="A501" s="100" t="n">
        <v>498</v>
      </c>
      <c r="B501" s="103" t="s">
        <v>1318</v>
      </c>
    </row>
    <row r="502" customFormat="false" ht="10.5" hidden="false" customHeight="true" outlineLevel="0" collapsed="false">
      <c r="A502" s="100" t="n">
        <v>499</v>
      </c>
      <c r="B502" s="103" t="s">
        <v>1319</v>
      </c>
    </row>
    <row r="503" customFormat="false" ht="10.5" hidden="false" customHeight="true" outlineLevel="0" collapsed="false">
      <c r="A503" s="100" t="n">
        <v>500</v>
      </c>
      <c r="B503" s="103" t="s">
        <v>1320</v>
      </c>
    </row>
    <row r="504" customFormat="false" ht="10.5" hidden="false" customHeight="true" outlineLevel="0" collapsed="false">
      <c r="A504" s="100" t="n">
        <v>501</v>
      </c>
      <c r="B504" s="103" t="s">
        <v>1321</v>
      </c>
    </row>
    <row r="505" customFormat="false" ht="10.5" hidden="false" customHeight="true" outlineLevel="0" collapsed="false">
      <c r="A505" s="100" t="n">
        <v>502</v>
      </c>
      <c r="B505" s="103" t="s">
        <v>1322</v>
      </c>
    </row>
    <row r="506" customFormat="false" ht="10.5" hidden="false" customHeight="true" outlineLevel="0" collapsed="false">
      <c r="A506" s="100" t="n">
        <v>503</v>
      </c>
      <c r="B506" s="103" t="s">
        <v>1323</v>
      </c>
    </row>
    <row r="507" customFormat="false" ht="10.5" hidden="false" customHeight="true" outlineLevel="0" collapsed="false">
      <c r="A507" s="100" t="n">
        <v>504</v>
      </c>
      <c r="B507" s="103" t="s">
        <v>1324</v>
      </c>
    </row>
    <row r="508" customFormat="false" ht="10.5" hidden="false" customHeight="true" outlineLevel="0" collapsed="false">
      <c r="A508" s="100" t="n">
        <v>505</v>
      </c>
      <c r="B508" s="103" t="s">
        <v>1229</v>
      </c>
    </row>
    <row r="509" customFormat="false" ht="10.5" hidden="false" customHeight="true" outlineLevel="0" collapsed="false">
      <c r="A509" s="100" t="n">
        <v>506</v>
      </c>
      <c r="B509" s="103" t="s">
        <v>1175</v>
      </c>
    </row>
    <row r="510" customFormat="false" ht="10.5" hidden="false" customHeight="true" outlineLevel="0" collapsed="false">
      <c r="A510" s="100" t="n">
        <v>507</v>
      </c>
      <c r="B510" s="103" t="s">
        <v>1176</v>
      </c>
    </row>
    <row r="511" customFormat="false" ht="10.5" hidden="false" customHeight="true" outlineLevel="0" collapsed="false">
      <c r="A511" s="100" t="n">
        <v>508</v>
      </c>
      <c r="B511" s="103"/>
    </row>
    <row r="512" customFormat="false" ht="10.5" hidden="false" customHeight="true" outlineLevel="0" collapsed="false">
      <c r="A512" s="100" t="n">
        <v>509</v>
      </c>
      <c r="B512" s="103" t="s">
        <v>1325</v>
      </c>
    </row>
    <row r="513" customFormat="false" ht="10.5" hidden="false" customHeight="true" outlineLevel="0" collapsed="false">
      <c r="A513" s="100" t="n">
        <v>510</v>
      </c>
      <c r="B513" s="103" t="s">
        <v>1326</v>
      </c>
    </row>
    <row r="514" customFormat="false" ht="10.5" hidden="false" customHeight="true" outlineLevel="0" collapsed="false">
      <c r="A514" s="100" t="n">
        <v>511</v>
      </c>
      <c r="B514" s="103" t="s">
        <v>1067</v>
      </c>
    </row>
    <row r="515" customFormat="false" ht="10.5" hidden="false" customHeight="true" outlineLevel="0" collapsed="false">
      <c r="A515" s="100" t="n">
        <v>512</v>
      </c>
      <c r="B515" s="103"/>
    </row>
    <row r="516" customFormat="false" ht="10.5" hidden="false" customHeight="true" outlineLevel="0" collapsed="false">
      <c r="A516" s="100" t="n">
        <v>513</v>
      </c>
      <c r="B516" s="103" t="s">
        <v>1327</v>
      </c>
    </row>
    <row r="517" customFormat="false" ht="10.5" hidden="false" customHeight="true" outlineLevel="0" collapsed="false">
      <c r="A517" s="100" t="n">
        <v>514</v>
      </c>
      <c r="B517" s="103" t="s">
        <v>1113</v>
      </c>
    </row>
    <row r="518" customFormat="false" ht="10.5" hidden="false" customHeight="true" outlineLevel="0" collapsed="false">
      <c r="A518" s="100" t="n">
        <v>515</v>
      </c>
      <c r="B518" s="103"/>
    </row>
    <row r="519" customFormat="false" ht="10.5" hidden="false" customHeight="true" outlineLevel="0" collapsed="false">
      <c r="A519" s="100" t="n">
        <v>516</v>
      </c>
      <c r="B519" s="103" t="s">
        <v>1328</v>
      </c>
    </row>
    <row r="520" customFormat="false" ht="10.5" hidden="false" customHeight="true" outlineLevel="0" collapsed="false">
      <c r="A520" s="100" t="n">
        <v>517</v>
      </c>
      <c r="B520" s="103" t="s">
        <v>1329</v>
      </c>
    </row>
    <row r="521" customFormat="false" ht="10.5" hidden="false" customHeight="true" outlineLevel="0" collapsed="false">
      <c r="A521" s="100" t="n">
        <v>518</v>
      </c>
      <c r="B521" s="103" t="s">
        <v>1312</v>
      </c>
    </row>
    <row r="522" customFormat="false" ht="10.5" hidden="false" customHeight="true" outlineLevel="0" collapsed="false">
      <c r="A522" s="100" t="n">
        <v>519</v>
      </c>
      <c r="B522" s="103" t="s">
        <v>1330</v>
      </c>
    </row>
    <row r="523" customFormat="false" ht="10.5" hidden="false" customHeight="true" outlineLevel="0" collapsed="false">
      <c r="A523" s="100" t="n">
        <v>520</v>
      </c>
      <c r="B523" s="103" t="s">
        <v>1331</v>
      </c>
    </row>
    <row r="524" customFormat="false" ht="10.5" hidden="false" customHeight="true" outlineLevel="0" collapsed="false">
      <c r="A524" s="100" t="n">
        <v>521</v>
      </c>
      <c r="B524" s="103" t="s">
        <v>1332</v>
      </c>
    </row>
    <row r="525" customFormat="false" ht="10.5" hidden="false" customHeight="true" outlineLevel="0" collapsed="false">
      <c r="A525" s="100" t="n">
        <v>522</v>
      </c>
      <c r="B525" s="103" t="s">
        <v>1333</v>
      </c>
    </row>
    <row r="526" customFormat="false" ht="10.5" hidden="false" customHeight="true" outlineLevel="0" collapsed="false">
      <c r="A526" s="100" t="n">
        <v>523</v>
      </c>
      <c r="B526" s="103" t="s">
        <v>1334</v>
      </c>
    </row>
    <row r="527" customFormat="false" ht="10.5" hidden="false" customHeight="true" outlineLevel="0" collapsed="false">
      <c r="A527" s="100" t="n">
        <v>524</v>
      </c>
      <c r="B527" s="103" t="s">
        <v>1335</v>
      </c>
    </row>
    <row r="528" customFormat="false" ht="10.5" hidden="false" customHeight="true" outlineLevel="0" collapsed="false">
      <c r="A528" s="100" t="n">
        <v>525</v>
      </c>
      <c r="B528" s="103" t="s">
        <v>1282</v>
      </c>
    </row>
    <row r="529" customFormat="false" ht="10.5" hidden="false" customHeight="true" outlineLevel="0" collapsed="false">
      <c r="A529" s="100" t="n">
        <v>526</v>
      </c>
      <c r="B529" s="103" t="s">
        <v>1336</v>
      </c>
    </row>
    <row r="530" customFormat="false" ht="10.5" hidden="false" customHeight="true" outlineLevel="0" collapsed="false">
      <c r="A530" s="100" t="n">
        <v>527</v>
      </c>
      <c r="B530" s="103" t="s">
        <v>1175</v>
      </c>
    </row>
    <row r="531" customFormat="false" ht="10.5" hidden="false" customHeight="true" outlineLevel="0" collapsed="false">
      <c r="A531" s="100" t="n">
        <v>528</v>
      </c>
      <c r="B531" s="103" t="s">
        <v>1176</v>
      </c>
    </row>
    <row r="532" customFormat="false" ht="10.5" hidden="false" customHeight="true" outlineLevel="0" collapsed="false">
      <c r="A532" s="100" t="n">
        <v>529</v>
      </c>
      <c r="B532" s="103" t="s">
        <v>1337</v>
      </c>
    </row>
    <row r="533" customFormat="false" ht="10.5" hidden="false" customHeight="true" outlineLevel="0" collapsed="false">
      <c r="A533" s="100" t="n">
        <v>530</v>
      </c>
      <c r="B533" s="103" t="s">
        <v>1113</v>
      </c>
    </row>
    <row r="534" customFormat="false" ht="10.5" hidden="false" customHeight="true" outlineLevel="0" collapsed="false">
      <c r="A534" s="100" t="n">
        <v>531</v>
      </c>
      <c r="B534" s="103"/>
    </row>
    <row r="535" customFormat="false" ht="10.5" hidden="false" customHeight="true" outlineLevel="0" collapsed="false">
      <c r="A535" s="100" t="n">
        <v>532</v>
      </c>
      <c r="B535" s="102" t="s">
        <v>1039</v>
      </c>
    </row>
    <row r="536" customFormat="false" ht="10.5" hidden="false" customHeight="true" outlineLevel="0" collapsed="false">
      <c r="A536" s="100" t="n">
        <v>533</v>
      </c>
      <c r="B536" s="102" t="s">
        <v>1338</v>
      </c>
    </row>
    <row r="537" customFormat="false" ht="10.5" hidden="false" customHeight="true" outlineLevel="0" collapsed="false">
      <c r="A537" s="100" t="n">
        <v>534</v>
      </c>
      <c r="B537" s="102" t="s">
        <v>1339</v>
      </c>
    </row>
    <row r="538" customFormat="false" ht="10.5" hidden="false" customHeight="true" outlineLevel="0" collapsed="false">
      <c r="A538" s="100" t="n">
        <v>535</v>
      </c>
      <c r="B538" s="102" t="s">
        <v>1340</v>
      </c>
    </row>
    <row r="539" customFormat="false" ht="10.5" hidden="false" customHeight="true" outlineLevel="0" collapsed="false">
      <c r="A539" s="100" t="n">
        <v>536</v>
      </c>
      <c r="B539" s="102" t="s">
        <v>1039</v>
      </c>
    </row>
    <row r="540" customFormat="false" ht="10.5" hidden="false" customHeight="true" outlineLevel="0" collapsed="false">
      <c r="A540" s="100" t="n">
        <v>537</v>
      </c>
      <c r="B540" s="103" t="s">
        <v>1341</v>
      </c>
    </row>
    <row r="541" customFormat="false" ht="10.5" hidden="false" customHeight="true" outlineLevel="0" collapsed="false">
      <c r="A541" s="100" t="n">
        <v>538</v>
      </c>
      <c r="B541" s="103"/>
    </row>
    <row r="542" customFormat="false" ht="10.5" hidden="false" customHeight="true" outlineLevel="0" collapsed="false">
      <c r="A542" s="100" t="n">
        <v>539</v>
      </c>
      <c r="B542" s="103" t="s">
        <v>1342</v>
      </c>
    </row>
    <row r="543" customFormat="false" ht="10.5" hidden="false" customHeight="true" outlineLevel="0" collapsed="false">
      <c r="A543" s="100" t="n">
        <v>540</v>
      </c>
      <c r="B543" s="103"/>
    </row>
    <row r="544" customFormat="false" ht="10.5" hidden="false" customHeight="true" outlineLevel="0" collapsed="false">
      <c r="A544" s="100" t="n">
        <v>541</v>
      </c>
      <c r="B544" s="103" t="s">
        <v>1343</v>
      </c>
    </row>
    <row r="545" customFormat="false" ht="10.5" hidden="false" customHeight="true" outlineLevel="0" collapsed="false">
      <c r="A545" s="100" t="n">
        <v>542</v>
      </c>
      <c r="B545" s="103" t="s">
        <v>1344</v>
      </c>
    </row>
    <row r="546" customFormat="false" ht="10.5" hidden="false" customHeight="true" outlineLevel="0" collapsed="false">
      <c r="A546" s="100" t="n">
        <v>543</v>
      </c>
      <c r="B546" s="103" t="s">
        <v>1345</v>
      </c>
    </row>
    <row r="547" customFormat="false" ht="10.5" hidden="false" customHeight="true" outlineLevel="0" collapsed="false">
      <c r="A547" s="100" t="n">
        <v>544</v>
      </c>
      <c r="B547" s="103" t="s">
        <v>1346</v>
      </c>
    </row>
    <row r="548" customFormat="false" ht="10.5" hidden="false" customHeight="true" outlineLevel="0" collapsed="false">
      <c r="A548" s="100" t="n">
        <v>545</v>
      </c>
      <c r="B548" s="103" t="s">
        <v>1067</v>
      </c>
    </row>
    <row r="549" customFormat="false" ht="10.5" hidden="false" customHeight="true" outlineLevel="0" collapsed="false">
      <c r="A549" s="100" t="n">
        <v>546</v>
      </c>
      <c r="B549" s="103"/>
    </row>
    <row r="550" customFormat="false" ht="10.5" hidden="false" customHeight="true" outlineLevel="0" collapsed="false">
      <c r="A550" s="100" t="n">
        <v>547</v>
      </c>
      <c r="B550" s="103" t="s">
        <v>1347</v>
      </c>
    </row>
    <row r="551" customFormat="false" ht="10.5" hidden="false" customHeight="true" outlineLevel="0" collapsed="false">
      <c r="A551" s="100" t="n">
        <v>548</v>
      </c>
      <c r="B551" s="103" t="s">
        <v>1348</v>
      </c>
    </row>
    <row r="552" customFormat="false" ht="10.5" hidden="false" customHeight="true" outlineLevel="0" collapsed="false">
      <c r="A552" s="100" t="n">
        <v>549</v>
      </c>
      <c r="B552" s="103"/>
    </row>
    <row r="553" customFormat="false" ht="10.5" hidden="false" customHeight="true" outlineLevel="0" collapsed="false">
      <c r="A553" s="100" t="n">
        <v>550</v>
      </c>
      <c r="B553" s="103" t="s">
        <v>1349</v>
      </c>
    </row>
    <row r="554" customFormat="false" ht="10.5" hidden="false" customHeight="true" outlineLevel="0" collapsed="false">
      <c r="A554" s="100" t="n">
        <v>551</v>
      </c>
      <c r="B554" s="103" t="s">
        <v>1350</v>
      </c>
    </row>
    <row r="555" customFormat="false" ht="10.5" hidden="false" customHeight="true" outlineLevel="0" collapsed="false">
      <c r="A555" s="100" t="n">
        <v>552</v>
      </c>
      <c r="B555" s="103" t="s">
        <v>1351</v>
      </c>
    </row>
    <row r="556" customFormat="false" ht="10.5" hidden="false" customHeight="true" outlineLevel="0" collapsed="false">
      <c r="A556" s="100" t="n">
        <v>553</v>
      </c>
      <c r="B556" s="103" t="s">
        <v>1352</v>
      </c>
    </row>
    <row r="557" customFormat="false" ht="10.5" hidden="false" customHeight="true" outlineLevel="0" collapsed="false">
      <c r="A557" s="100" t="n">
        <v>554</v>
      </c>
      <c r="B557" s="103" t="s">
        <v>1350</v>
      </c>
    </row>
    <row r="558" customFormat="false" ht="10.5" hidden="false" customHeight="true" outlineLevel="0" collapsed="false">
      <c r="A558" s="100" t="n">
        <v>555</v>
      </c>
      <c r="B558" s="103" t="s">
        <v>1353</v>
      </c>
    </row>
    <row r="559" customFormat="false" ht="10.5" hidden="false" customHeight="true" outlineLevel="0" collapsed="false">
      <c r="A559" s="100" t="n">
        <v>556</v>
      </c>
      <c r="B559" s="103" t="s">
        <v>1354</v>
      </c>
    </row>
    <row r="560" customFormat="false" ht="10.5" hidden="false" customHeight="true" outlineLevel="0" collapsed="false">
      <c r="A560" s="100" t="n">
        <v>557</v>
      </c>
      <c r="B560" s="103" t="s">
        <v>1350</v>
      </c>
    </row>
    <row r="561" customFormat="false" ht="10.5" hidden="false" customHeight="true" outlineLevel="0" collapsed="false">
      <c r="A561" s="100" t="n">
        <v>558</v>
      </c>
      <c r="B561" s="103" t="s">
        <v>1355</v>
      </c>
    </row>
    <row r="562" customFormat="false" ht="10.5" hidden="false" customHeight="true" outlineLevel="0" collapsed="false">
      <c r="A562" s="100" t="n">
        <v>559</v>
      </c>
      <c r="B562" s="103" t="s">
        <v>1067</v>
      </c>
    </row>
    <row r="563" customFormat="false" ht="10.5" hidden="false" customHeight="true" outlineLevel="0" collapsed="false">
      <c r="A563" s="100" t="n">
        <v>560</v>
      </c>
      <c r="B563" s="103"/>
    </row>
    <row r="564" customFormat="false" ht="10.5" hidden="false" customHeight="true" outlineLevel="0" collapsed="false">
      <c r="A564" s="100" t="n">
        <v>561</v>
      </c>
      <c r="B564" s="103" t="s">
        <v>1356</v>
      </c>
    </row>
    <row r="565" customFormat="false" ht="10.5" hidden="false" customHeight="true" outlineLevel="0" collapsed="false">
      <c r="A565" s="100" t="n">
        <v>562</v>
      </c>
      <c r="B565" s="103" t="s">
        <v>1357</v>
      </c>
    </row>
    <row r="566" customFormat="false" ht="10.5" hidden="false" customHeight="true" outlineLevel="0" collapsed="false">
      <c r="A566" s="100" t="n">
        <v>563</v>
      </c>
      <c r="B566" s="103"/>
    </row>
    <row r="567" customFormat="false" ht="10.5" hidden="false" customHeight="true" outlineLevel="0" collapsed="false">
      <c r="A567" s="100" t="n">
        <v>564</v>
      </c>
      <c r="B567" s="102" t="s">
        <v>1358</v>
      </c>
    </row>
    <row r="568" customFormat="false" ht="10.5" hidden="false" customHeight="true" outlineLevel="0" collapsed="false">
      <c r="A568" s="100" t="n">
        <v>565</v>
      </c>
      <c r="B568" s="103" t="s">
        <v>1359</v>
      </c>
    </row>
    <row r="569" customFormat="false" ht="10.5" hidden="false" customHeight="true" outlineLevel="0" collapsed="false">
      <c r="A569" s="100" t="n">
        <v>566</v>
      </c>
      <c r="B569" s="103" t="s">
        <v>1360</v>
      </c>
    </row>
    <row r="570" customFormat="false" ht="10.5" hidden="false" customHeight="true" outlineLevel="0" collapsed="false">
      <c r="A570" s="100" t="n">
        <v>567</v>
      </c>
      <c r="B570" s="103" t="s">
        <v>1361</v>
      </c>
    </row>
    <row r="571" customFormat="false" ht="10.5" hidden="false" customHeight="true" outlineLevel="0" collapsed="false">
      <c r="A571" s="100" t="n">
        <v>568</v>
      </c>
      <c r="B571" s="103" t="s">
        <v>1362</v>
      </c>
    </row>
    <row r="572" customFormat="false" ht="10.5" hidden="false" customHeight="true" outlineLevel="0" collapsed="false">
      <c r="A572" s="100" t="n">
        <v>569</v>
      </c>
      <c r="B572" s="103" t="s">
        <v>1282</v>
      </c>
    </row>
    <row r="573" customFormat="false" ht="10.5" hidden="false" customHeight="true" outlineLevel="0" collapsed="false">
      <c r="A573" s="100" t="n">
        <v>570</v>
      </c>
      <c r="B573" s="103" t="s">
        <v>1363</v>
      </c>
    </row>
    <row r="574" customFormat="false" ht="10.5" hidden="false" customHeight="true" outlineLevel="0" collapsed="false">
      <c r="A574" s="100" t="n">
        <v>571</v>
      </c>
      <c r="B574" s="103" t="s">
        <v>1175</v>
      </c>
    </row>
    <row r="575" customFormat="false" ht="10.5" hidden="false" customHeight="true" outlineLevel="0" collapsed="false">
      <c r="A575" s="100" t="n">
        <v>572</v>
      </c>
      <c r="B575" s="103" t="s">
        <v>1364</v>
      </c>
    </row>
    <row r="576" customFormat="false" ht="10.5" hidden="false" customHeight="true" outlineLevel="0" collapsed="false">
      <c r="A576" s="100" t="n">
        <v>573</v>
      </c>
      <c r="B576" s="103" t="s">
        <v>1365</v>
      </c>
    </row>
    <row r="577" customFormat="false" ht="10.5" hidden="false" customHeight="true" outlineLevel="0" collapsed="false">
      <c r="A577" s="100" t="n">
        <v>574</v>
      </c>
      <c r="B577" s="103" t="s">
        <v>1366</v>
      </c>
    </row>
    <row r="578" customFormat="false" ht="10.5" hidden="false" customHeight="true" outlineLevel="0" collapsed="false">
      <c r="A578" s="100" t="n">
        <v>575</v>
      </c>
      <c r="B578" s="103" t="s">
        <v>1282</v>
      </c>
    </row>
    <row r="579" customFormat="false" ht="10.5" hidden="false" customHeight="true" outlineLevel="0" collapsed="false">
      <c r="A579" s="100" t="n">
        <v>576</v>
      </c>
      <c r="B579" s="103" t="s">
        <v>1367</v>
      </c>
    </row>
    <row r="580" customFormat="false" ht="10.5" hidden="false" customHeight="true" outlineLevel="0" collapsed="false">
      <c r="A580" s="100" t="n">
        <v>577</v>
      </c>
      <c r="B580" s="103" t="s">
        <v>1175</v>
      </c>
    </row>
    <row r="581" customFormat="false" ht="10.5" hidden="false" customHeight="true" outlineLevel="0" collapsed="false">
      <c r="A581" s="100" t="n">
        <v>578</v>
      </c>
      <c r="B581" s="103" t="s">
        <v>1067</v>
      </c>
    </row>
    <row r="582" customFormat="false" ht="10.5" hidden="false" customHeight="true" outlineLevel="0" collapsed="false">
      <c r="A582" s="100" t="n">
        <v>579</v>
      </c>
      <c r="B582" s="103"/>
    </row>
    <row r="583" customFormat="false" ht="10.5" hidden="false" customHeight="true" outlineLevel="0" collapsed="false">
      <c r="A583" s="100" t="n">
        <v>580</v>
      </c>
      <c r="B583" s="103" t="s">
        <v>1368</v>
      </c>
    </row>
    <row r="584" customFormat="false" ht="10.5" hidden="false" customHeight="true" outlineLevel="0" collapsed="false">
      <c r="A584" s="100" t="n">
        <v>581</v>
      </c>
      <c r="B584" s="103" t="s">
        <v>1369</v>
      </c>
    </row>
    <row r="585" customFormat="false" ht="10.5" hidden="false" customHeight="true" outlineLevel="0" collapsed="false">
      <c r="A585" s="100" t="n">
        <v>582</v>
      </c>
      <c r="B585" s="103" t="s">
        <v>1370</v>
      </c>
    </row>
    <row r="586" customFormat="false" ht="10.5" hidden="false" customHeight="true" outlineLevel="0" collapsed="false">
      <c r="A586" s="100" t="n">
        <v>583</v>
      </c>
      <c r="B586" s="103" t="s">
        <v>1067</v>
      </c>
    </row>
    <row r="587" customFormat="false" ht="10.5" hidden="false" customHeight="true" outlineLevel="0" collapsed="false">
      <c r="A587" s="100" t="n">
        <v>584</v>
      </c>
      <c r="B587" s="103"/>
    </row>
    <row r="588" customFormat="false" ht="10.5" hidden="false" customHeight="true" outlineLevel="0" collapsed="false">
      <c r="A588" s="100" t="n">
        <v>585</v>
      </c>
      <c r="B588" s="103" t="s">
        <v>1371</v>
      </c>
    </row>
    <row r="589" customFormat="false" ht="10.5" hidden="false" customHeight="true" outlineLevel="0" collapsed="false">
      <c r="A589" s="100" t="n">
        <v>586</v>
      </c>
      <c r="B589" s="103" t="s">
        <v>1113</v>
      </c>
    </row>
    <row r="590" customFormat="false" ht="10.5" hidden="false" customHeight="true" outlineLevel="0" collapsed="false">
      <c r="A590" s="100" t="n">
        <v>587</v>
      </c>
      <c r="B590" s="103"/>
    </row>
    <row r="591" customFormat="false" ht="10.5" hidden="false" customHeight="true" outlineLevel="0" collapsed="false">
      <c r="A591" s="100" t="n">
        <v>588</v>
      </c>
      <c r="B591" s="102" t="s">
        <v>1039</v>
      </c>
    </row>
    <row r="592" customFormat="false" ht="10.5" hidden="false" customHeight="true" outlineLevel="0" collapsed="false">
      <c r="A592" s="100" t="n">
        <v>589</v>
      </c>
      <c r="B592" s="102" t="s">
        <v>1372</v>
      </c>
    </row>
    <row r="593" customFormat="false" ht="10.5" hidden="false" customHeight="true" outlineLevel="0" collapsed="false">
      <c r="A593" s="100" t="n">
        <v>590</v>
      </c>
      <c r="B593" s="102" t="s">
        <v>1373</v>
      </c>
    </row>
    <row r="594" customFormat="false" ht="10.5" hidden="false" customHeight="true" outlineLevel="0" collapsed="false">
      <c r="A594" s="100" t="n">
        <v>591</v>
      </c>
      <c r="B594" s="102" t="s">
        <v>1374</v>
      </c>
    </row>
    <row r="595" customFormat="false" ht="10.5" hidden="false" customHeight="true" outlineLevel="0" collapsed="false">
      <c r="A595" s="100" t="n">
        <v>592</v>
      </c>
      <c r="B595" s="102" t="s">
        <v>1039</v>
      </c>
    </row>
    <row r="596" customFormat="false" ht="10.5" hidden="false" customHeight="true" outlineLevel="0" collapsed="false">
      <c r="A596" s="100" t="n">
        <v>593</v>
      </c>
      <c r="B596" s="103" t="s">
        <v>1375</v>
      </c>
    </row>
    <row r="597" customFormat="false" ht="10.5" hidden="false" customHeight="true" outlineLevel="0" collapsed="false">
      <c r="A597" s="100" t="n">
        <v>594</v>
      </c>
      <c r="B597" s="103" t="s">
        <v>1376</v>
      </c>
    </row>
    <row r="598" customFormat="false" ht="10.5" hidden="false" customHeight="true" outlineLevel="0" collapsed="false">
      <c r="A598" s="100" t="n">
        <v>595</v>
      </c>
      <c r="B598" s="103" t="s">
        <v>1347</v>
      </c>
    </row>
    <row r="599" customFormat="false" ht="10.5" hidden="false" customHeight="true" outlineLevel="0" collapsed="false">
      <c r="A599" s="100" t="n">
        <v>596</v>
      </c>
      <c r="B599" s="103" t="s">
        <v>1377</v>
      </c>
    </row>
    <row r="600" customFormat="false" ht="10.5" hidden="false" customHeight="true" outlineLevel="0" collapsed="false">
      <c r="A600" s="100" t="n">
        <v>597</v>
      </c>
      <c r="B600" s="103" t="s">
        <v>1378</v>
      </c>
    </row>
    <row r="601" customFormat="false" ht="10.5" hidden="false" customHeight="true" outlineLevel="0" collapsed="false">
      <c r="A601" s="100" t="n">
        <v>598</v>
      </c>
      <c r="B601" s="103" t="s">
        <v>1355</v>
      </c>
    </row>
    <row r="602" customFormat="false" ht="10.5" hidden="false" customHeight="true" outlineLevel="0" collapsed="false">
      <c r="A602" s="100" t="n">
        <v>599</v>
      </c>
      <c r="B602" s="103" t="s">
        <v>1379</v>
      </c>
    </row>
    <row r="603" customFormat="false" ht="10.5" hidden="false" customHeight="true" outlineLevel="0" collapsed="false">
      <c r="A603" s="100" t="n">
        <v>600</v>
      </c>
      <c r="B603" s="103" t="s">
        <v>1380</v>
      </c>
    </row>
    <row r="604" customFormat="false" ht="10.5" hidden="false" customHeight="true" outlineLevel="0" collapsed="false">
      <c r="A604" s="100" t="n">
        <v>601</v>
      </c>
      <c r="B604" s="103" t="s">
        <v>1113</v>
      </c>
    </row>
    <row r="605" customFormat="false" ht="10.5" hidden="false" customHeight="true" outlineLevel="0" collapsed="false">
      <c r="A605" s="100" t="n">
        <v>602</v>
      </c>
      <c r="B605" s="103"/>
    </row>
    <row r="606" customFormat="false" ht="10.5" hidden="false" customHeight="true" outlineLevel="0" collapsed="false">
      <c r="A606" s="100" t="n">
        <v>603</v>
      </c>
      <c r="B606" s="103"/>
    </row>
    <row r="607" customFormat="false" ht="10.5" hidden="false" customHeight="true" outlineLevel="0" collapsed="false">
      <c r="A607" s="100" t="n">
        <v>604</v>
      </c>
      <c r="B607" s="101" t="s">
        <v>1381</v>
      </c>
    </row>
    <row r="608" customFormat="false" ht="10.5" hidden="false" customHeight="true" outlineLevel="0" collapsed="false">
      <c r="A608" s="100" t="n">
        <v>605</v>
      </c>
      <c r="B608" s="103" t="s">
        <v>1017</v>
      </c>
    </row>
    <row r="609" customFormat="false" ht="10.5" hidden="false" customHeight="true" outlineLevel="0" collapsed="false">
      <c r="A609" s="100" t="n">
        <v>606</v>
      </c>
      <c r="B609" s="103"/>
    </row>
    <row r="610" customFormat="false" ht="10.5" hidden="false" customHeight="true" outlineLevel="0" collapsed="false">
      <c r="A610" s="100" t="n">
        <v>607</v>
      </c>
      <c r="B610" s="102" t="s">
        <v>1039</v>
      </c>
    </row>
    <row r="611" customFormat="false" ht="10.5" hidden="false" customHeight="true" outlineLevel="0" collapsed="false">
      <c r="A611" s="100" t="n">
        <v>608</v>
      </c>
      <c r="B611" s="102" t="s">
        <v>1382</v>
      </c>
    </row>
    <row r="612" customFormat="false" ht="10.5" hidden="false" customHeight="true" outlineLevel="0" collapsed="false">
      <c r="A612" s="100" t="n">
        <v>609</v>
      </c>
      <c r="B612" s="102" t="s">
        <v>1383</v>
      </c>
    </row>
    <row r="613" customFormat="false" ht="10.5" hidden="false" customHeight="true" outlineLevel="0" collapsed="false">
      <c r="A613" s="100" t="n">
        <v>610</v>
      </c>
      <c r="B613" s="102" t="s">
        <v>1039</v>
      </c>
    </row>
    <row r="614" customFormat="false" ht="10.5" hidden="false" customHeight="true" outlineLevel="0" collapsed="false">
      <c r="A614" s="100" t="n">
        <v>611</v>
      </c>
      <c r="B614" s="103" t="s">
        <v>1384</v>
      </c>
    </row>
    <row r="615" customFormat="false" ht="10.5" hidden="false" customHeight="true" outlineLevel="0" collapsed="false">
      <c r="A615" s="100" t="n">
        <v>612</v>
      </c>
      <c r="B615" s="103"/>
    </row>
    <row r="616" customFormat="false" ht="10.5" hidden="false" customHeight="true" outlineLevel="0" collapsed="false">
      <c r="A616" s="100" t="n">
        <v>613</v>
      </c>
      <c r="B616" s="103" t="s">
        <v>1385</v>
      </c>
    </row>
    <row r="617" customFormat="false" ht="10.5" hidden="false" customHeight="true" outlineLevel="0" collapsed="false">
      <c r="A617" s="100" t="n">
        <v>614</v>
      </c>
      <c r="B617" s="103" t="s">
        <v>1386</v>
      </c>
    </row>
    <row r="618" customFormat="false" ht="10.5" hidden="false" customHeight="true" outlineLevel="0" collapsed="false">
      <c r="A618" s="100" t="n">
        <v>615</v>
      </c>
      <c r="B618" s="103"/>
    </row>
    <row r="619" customFormat="false" ht="10.5" hidden="false" customHeight="true" outlineLevel="0" collapsed="false">
      <c r="A619" s="100" t="n">
        <v>616</v>
      </c>
      <c r="B619" s="103" t="s">
        <v>1387</v>
      </c>
    </row>
    <row r="620" customFormat="false" ht="10.5" hidden="false" customHeight="true" outlineLevel="0" collapsed="false">
      <c r="A620" s="100" t="n">
        <v>617</v>
      </c>
      <c r="B620" s="103" t="s">
        <v>1388</v>
      </c>
    </row>
    <row r="621" customFormat="false" ht="10.5" hidden="false" customHeight="true" outlineLevel="0" collapsed="false">
      <c r="A621" s="100" t="n">
        <v>618</v>
      </c>
      <c r="B621" s="103"/>
    </row>
    <row r="622" customFormat="false" ht="10.5" hidden="false" customHeight="true" outlineLevel="0" collapsed="false">
      <c r="A622" s="100" t="n">
        <v>619</v>
      </c>
      <c r="B622" s="103" t="s">
        <v>1389</v>
      </c>
    </row>
    <row r="623" customFormat="false" ht="10.5" hidden="false" customHeight="true" outlineLevel="0" collapsed="false">
      <c r="A623" s="100" t="n">
        <v>620</v>
      </c>
      <c r="B623" s="103"/>
    </row>
    <row r="624" customFormat="false" ht="10.5" hidden="false" customHeight="true" outlineLevel="0" collapsed="false">
      <c r="A624" s="100" t="n">
        <v>621</v>
      </c>
      <c r="B624" s="103" t="s">
        <v>1390</v>
      </c>
    </row>
    <row r="625" customFormat="false" ht="10.5" hidden="false" customHeight="true" outlineLevel="0" collapsed="false">
      <c r="A625" s="100" t="n">
        <v>622</v>
      </c>
      <c r="B625" s="103" t="s">
        <v>1391</v>
      </c>
    </row>
    <row r="626" customFormat="false" ht="10.5" hidden="false" customHeight="true" outlineLevel="0" collapsed="false">
      <c r="A626" s="100" t="n">
        <v>623</v>
      </c>
      <c r="B626" s="103" t="s">
        <v>1392</v>
      </c>
    </row>
    <row r="627" customFormat="false" ht="10.5" hidden="false" customHeight="true" outlineLevel="0" collapsed="false">
      <c r="A627" s="100" t="n">
        <v>624</v>
      </c>
      <c r="B627" s="103" t="s">
        <v>1081</v>
      </c>
    </row>
    <row r="628" customFormat="false" ht="10.5" hidden="false" customHeight="true" outlineLevel="0" collapsed="false">
      <c r="A628" s="100" t="n">
        <v>625</v>
      </c>
      <c r="B628" s="103"/>
    </row>
    <row r="629" customFormat="false" ht="10.5" hidden="false" customHeight="true" outlineLevel="0" collapsed="false">
      <c r="A629" s="100" t="n">
        <v>626</v>
      </c>
      <c r="B629" s="102" t="s">
        <v>1039</v>
      </c>
    </row>
    <row r="630" customFormat="false" ht="10.5" hidden="false" customHeight="true" outlineLevel="0" collapsed="false">
      <c r="A630" s="100" t="n">
        <v>627</v>
      </c>
      <c r="B630" s="102" t="s">
        <v>1393</v>
      </c>
    </row>
    <row r="631" customFormat="false" ht="10.5" hidden="false" customHeight="true" outlineLevel="0" collapsed="false">
      <c r="A631" s="100" t="n">
        <v>628</v>
      </c>
      <c r="B631" s="102" t="s">
        <v>1394</v>
      </c>
    </row>
    <row r="632" customFormat="false" ht="10.5" hidden="false" customHeight="true" outlineLevel="0" collapsed="false">
      <c r="A632" s="100" t="n">
        <v>629</v>
      </c>
      <c r="B632" s="102" t="s">
        <v>1395</v>
      </c>
    </row>
    <row r="633" customFormat="false" ht="10.5" hidden="false" customHeight="true" outlineLevel="0" collapsed="false">
      <c r="A633" s="100" t="n">
        <v>630</v>
      </c>
      <c r="B633" s="102" t="s">
        <v>1039</v>
      </c>
    </row>
    <row r="634" customFormat="false" ht="10.5" hidden="false" customHeight="true" outlineLevel="0" collapsed="false">
      <c r="A634" s="100" t="n">
        <v>631</v>
      </c>
      <c r="B634" s="103" t="s">
        <v>1396</v>
      </c>
    </row>
    <row r="635" customFormat="false" ht="10.5" hidden="false" customHeight="true" outlineLevel="0" collapsed="false">
      <c r="A635" s="100" t="n">
        <v>632</v>
      </c>
      <c r="B635" s="103"/>
    </row>
    <row r="636" customFormat="false" ht="10.5" hidden="false" customHeight="true" outlineLevel="0" collapsed="false">
      <c r="A636" s="100" t="n">
        <v>633</v>
      </c>
      <c r="B636" s="103" t="s">
        <v>1385</v>
      </c>
    </row>
    <row r="637" customFormat="false" ht="10.5" hidden="false" customHeight="true" outlineLevel="0" collapsed="false">
      <c r="A637" s="100" t="n">
        <v>634</v>
      </c>
      <c r="B637" s="103" t="s">
        <v>1386</v>
      </c>
    </row>
    <row r="638" customFormat="false" ht="10.5" hidden="false" customHeight="true" outlineLevel="0" collapsed="false">
      <c r="A638" s="100" t="n">
        <v>635</v>
      </c>
      <c r="B638" s="103"/>
    </row>
    <row r="639" customFormat="false" ht="10.5" hidden="false" customHeight="true" outlineLevel="0" collapsed="false">
      <c r="A639" s="100" t="n">
        <v>636</v>
      </c>
      <c r="B639" s="103" t="s">
        <v>1397</v>
      </c>
    </row>
    <row r="640" customFormat="false" ht="10.5" hidden="false" customHeight="true" outlineLevel="0" collapsed="false">
      <c r="A640" s="100" t="n">
        <v>637</v>
      </c>
      <c r="B640" s="103" t="s">
        <v>1388</v>
      </c>
    </row>
    <row r="641" customFormat="false" ht="10.5" hidden="false" customHeight="true" outlineLevel="0" collapsed="false">
      <c r="A641" s="100" t="n">
        <v>638</v>
      </c>
      <c r="B641" s="103" t="s">
        <v>1398</v>
      </c>
    </row>
    <row r="642" customFormat="false" ht="10.5" hidden="false" customHeight="true" outlineLevel="0" collapsed="false">
      <c r="A642" s="100" t="n">
        <v>639</v>
      </c>
      <c r="B642" s="103"/>
    </row>
    <row r="643" customFormat="false" ht="10.5" hidden="false" customHeight="true" outlineLevel="0" collapsed="false">
      <c r="A643" s="100" t="n">
        <v>640</v>
      </c>
      <c r="B643" s="103" t="s">
        <v>1399</v>
      </c>
    </row>
    <row r="644" customFormat="false" ht="10.5" hidden="false" customHeight="true" outlineLevel="0" collapsed="false">
      <c r="A644" s="100" t="n">
        <v>641</v>
      </c>
      <c r="B644" s="103" t="s">
        <v>1400</v>
      </c>
    </row>
    <row r="645" customFormat="false" ht="10.5" hidden="false" customHeight="true" outlineLevel="0" collapsed="false">
      <c r="A645" s="100" t="n">
        <v>642</v>
      </c>
      <c r="B645" s="103" t="s">
        <v>1081</v>
      </c>
    </row>
    <row r="646" customFormat="false" ht="10.5" hidden="false" customHeight="true" outlineLevel="0" collapsed="false">
      <c r="A646" s="100" t="n">
        <v>643</v>
      </c>
      <c r="B646" s="103"/>
    </row>
    <row r="647" customFormat="false" ht="10.5" hidden="false" customHeight="true" outlineLevel="0" collapsed="false">
      <c r="A647" s="100" t="n">
        <v>644</v>
      </c>
      <c r="B647" s="102" t="s">
        <v>1039</v>
      </c>
    </row>
    <row r="648" customFormat="false" ht="10.5" hidden="false" customHeight="true" outlineLevel="0" collapsed="false">
      <c r="A648" s="100" t="n">
        <v>645</v>
      </c>
      <c r="B648" s="102" t="s">
        <v>1401</v>
      </c>
    </row>
    <row r="649" customFormat="false" ht="10.5" hidden="false" customHeight="true" outlineLevel="0" collapsed="false">
      <c r="A649" s="100" t="n">
        <v>646</v>
      </c>
      <c r="B649" s="102" t="s">
        <v>1402</v>
      </c>
    </row>
    <row r="650" customFormat="false" ht="10.5" hidden="false" customHeight="true" outlineLevel="0" collapsed="false">
      <c r="A650" s="100" t="n">
        <v>647</v>
      </c>
      <c r="B650" s="102" t="s">
        <v>1403</v>
      </c>
    </row>
    <row r="651" customFormat="false" ht="10.5" hidden="false" customHeight="true" outlineLevel="0" collapsed="false">
      <c r="A651" s="100" t="n">
        <v>648</v>
      </c>
      <c r="B651" s="102" t="s">
        <v>1039</v>
      </c>
    </row>
    <row r="652" customFormat="false" ht="10.5" hidden="false" customHeight="true" outlineLevel="0" collapsed="false">
      <c r="A652" s="100" t="n">
        <v>649</v>
      </c>
      <c r="B652" s="103" t="s">
        <v>1404</v>
      </c>
    </row>
    <row r="653" customFormat="false" ht="10.5" hidden="false" customHeight="true" outlineLevel="0" collapsed="false">
      <c r="A653" s="100" t="n">
        <v>650</v>
      </c>
      <c r="B653" s="103" t="s">
        <v>1405</v>
      </c>
    </row>
    <row r="654" customFormat="false" ht="10.5" hidden="false" customHeight="true" outlineLevel="0" collapsed="false">
      <c r="A654" s="100" t="n">
        <v>651</v>
      </c>
      <c r="B654" s="103" t="s">
        <v>1406</v>
      </c>
    </row>
    <row r="655" customFormat="false" ht="10.5" hidden="false" customHeight="true" outlineLevel="0" collapsed="false">
      <c r="A655" s="100" t="n">
        <v>652</v>
      </c>
      <c r="B655" s="103" t="s">
        <v>1081</v>
      </c>
    </row>
    <row r="656" customFormat="false" ht="10.5" hidden="false" customHeight="true" outlineLevel="0" collapsed="false">
      <c r="A656" s="100" t="n">
        <v>653</v>
      </c>
      <c r="B656" s="103"/>
    </row>
    <row r="657" customFormat="false" ht="10.5" hidden="false" customHeight="true" outlineLevel="0" collapsed="false">
      <c r="A657" s="100" t="n">
        <v>654</v>
      </c>
      <c r="B657" s="102" t="s">
        <v>1039</v>
      </c>
    </row>
    <row r="658" customFormat="false" ht="10.5" hidden="false" customHeight="true" outlineLevel="0" collapsed="false">
      <c r="A658" s="100" t="n">
        <v>655</v>
      </c>
      <c r="B658" s="102" t="s">
        <v>1407</v>
      </c>
    </row>
    <row r="659" customFormat="false" ht="10.5" hidden="false" customHeight="true" outlineLevel="0" collapsed="false">
      <c r="A659" s="100" t="n">
        <v>656</v>
      </c>
      <c r="B659" s="102" t="s">
        <v>1408</v>
      </c>
    </row>
    <row r="660" customFormat="false" ht="10.5" hidden="false" customHeight="true" outlineLevel="0" collapsed="false">
      <c r="A660" s="100" t="n">
        <v>657</v>
      </c>
      <c r="B660" s="102" t="s">
        <v>1409</v>
      </c>
    </row>
    <row r="661" customFormat="false" ht="10.5" hidden="false" customHeight="true" outlineLevel="0" collapsed="false">
      <c r="A661" s="100" t="n">
        <v>658</v>
      </c>
      <c r="B661" s="102" t="s">
        <v>1410</v>
      </c>
    </row>
    <row r="662" customFormat="false" ht="10.5" hidden="false" customHeight="true" outlineLevel="0" collapsed="false">
      <c r="A662" s="100" t="n">
        <v>659</v>
      </c>
      <c r="B662" s="102" t="s">
        <v>1039</v>
      </c>
    </row>
    <row r="663" customFormat="false" ht="10.5" hidden="false" customHeight="true" outlineLevel="0" collapsed="false">
      <c r="A663" s="100" t="n">
        <v>660</v>
      </c>
      <c r="B663" s="103" t="s">
        <v>1411</v>
      </c>
    </row>
    <row r="664" customFormat="false" ht="10.5" hidden="false" customHeight="true" outlineLevel="0" collapsed="false">
      <c r="A664" s="100" t="n">
        <v>661</v>
      </c>
      <c r="B664" s="103"/>
    </row>
    <row r="665" customFormat="false" ht="10.5" hidden="false" customHeight="true" outlineLevel="0" collapsed="false">
      <c r="A665" s="100" t="n">
        <v>662</v>
      </c>
      <c r="B665" s="103" t="s">
        <v>1412</v>
      </c>
    </row>
    <row r="666" customFormat="false" ht="10.5" hidden="false" customHeight="true" outlineLevel="0" collapsed="false">
      <c r="A666" s="100" t="n">
        <v>663</v>
      </c>
      <c r="B666" s="103" t="s">
        <v>1413</v>
      </c>
    </row>
    <row r="667" customFormat="false" ht="10.5" hidden="false" customHeight="true" outlineLevel="0" collapsed="false">
      <c r="A667" s="100" t="n">
        <v>664</v>
      </c>
      <c r="B667" s="103" t="s">
        <v>1414</v>
      </c>
    </row>
    <row r="668" customFormat="false" ht="10.5" hidden="false" customHeight="true" outlineLevel="0" collapsed="false">
      <c r="A668" s="100" t="n">
        <v>665</v>
      </c>
      <c r="B668" s="103" t="s">
        <v>1415</v>
      </c>
    </row>
    <row r="669" customFormat="false" ht="10.5" hidden="false" customHeight="true" outlineLevel="0" collapsed="false">
      <c r="A669" s="100" t="n">
        <v>666</v>
      </c>
      <c r="B669" s="103" t="s">
        <v>1416</v>
      </c>
    </row>
    <row r="670" customFormat="false" ht="10.5" hidden="false" customHeight="true" outlineLevel="0" collapsed="false">
      <c r="A670" s="100" t="n">
        <v>667</v>
      </c>
      <c r="B670" s="103"/>
    </row>
    <row r="671" customFormat="false" ht="10.5" hidden="false" customHeight="true" outlineLevel="0" collapsed="false">
      <c r="A671" s="100" t="n">
        <v>668</v>
      </c>
      <c r="B671" s="103" t="s">
        <v>1417</v>
      </c>
    </row>
    <row r="672" customFormat="false" ht="10.5" hidden="false" customHeight="true" outlineLevel="0" collapsed="false">
      <c r="A672" s="100" t="n">
        <v>669</v>
      </c>
      <c r="B672" s="103" t="s">
        <v>1418</v>
      </c>
    </row>
    <row r="673" customFormat="false" ht="10.5" hidden="false" customHeight="true" outlineLevel="0" collapsed="false">
      <c r="A673" s="100" t="n">
        <v>670</v>
      </c>
      <c r="B673" s="103" t="s">
        <v>1419</v>
      </c>
    </row>
    <row r="674" customFormat="false" ht="10.5" hidden="false" customHeight="true" outlineLevel="0" collapsed="false">
      <c r="A674" s="100" t="n">
        <v>671</v>
      </c>
      <c r="B674" s="103" t="s">
        <v>1067</v>
      </c>
    </row>
    <row r="675" customFormat="false" ht="10.5" hidden="false" customHeight="true" outlineLevel="0" collapsed="false">
      <c r="A675" s="100" t="n">
        <v>672</v>
      </c>
      <c r="B675" s="103" t="s">
        <v>1420</v>
      </c>
    </row>
    <row r="676" customFormat="false" ht="10.5" hidden="false" customHeight="true" outlineLevel="0" collapsed="false">
      <c r="A676" s="100" t="n">
        <v>673</v>
      </c>
      <c r="B676" s="103" t="s">
        <v>1421</v>
      </c>
    </row>
    <row r="677" customFormat="false" ht="10.5" hidden="false" customHeight="true" outlineLevel="0" collapsed="false">
      <c r="A677" s="100" t="n">
        <v>674</v>
      </c>
      <c r="B677" s="103" t="s">
        <v>1422</v>
      </c>
    </row>
    <row r="678" customFormat="false" ht="10.5" hidden="false" customHeight="true" outlineLevel="0" collapsed="false">
      <c r="A678" s="100" t="n">
        <v>675</v>
      </c>
      <c r="B678" s="103" t="s">
        <v>1067</v>
      </c>
    </row>
    <row r="679" customFormat="false" ht="10.5" hidden="false" customHeight="true" outlineLevel="0" collapsed="false">
      <c r="A679" s="100" t="n">
        <v>676</v>
      </c>
      <c r="B679" s="103"/>
    </row>
    <row r="680" customFormat="false" ht="10.5" hidden="false" customHeight="true" outlineLevel="0" collapsed="false">
      <c r="A680" s="100" t="n">
        <v>677</v>
      </c>
      <c r="B680" s="103" t="s">
        <v>1423</v>
      </c>
    </row>
    <row r="681" customFormat="false" ht="10.5" hidden="false" customHeight="true" outlineLevel="0" collapsed="false">
      <c r="A681" s="100" t="n">
        <v>678</v>
      </c>
      <c r="B681" s="103" t="s">
        <v>1424</v>
      </c>
    </row>
    <row r="682" customFormat="false" ht="10.5" hidden="false" customHeight="true" outlineLevel="0" collapsed="false">
      <c r="A682" s="100" t="n">
        <v>679</v>
      </c>
      <c r="B682" s="103" t="s">
        <v>1425</v>
      </c>
    </row>
    <row r="683" customFormat="false" ht="10.5" hidden="false" customHeight="true" outlineLevel="0" collapsed="false">
      <c r="A683" s="100" t="n">
        <v>680</v>
      </c>
      <c r="B683" s="103"/>
    </row>
    <row r="684" customFormat="false" ht="10.5" hidden="false" customHeight="true" outlineLevel="0" collapsed="false">
      <c r="A684" s="100" t="n">
        <v>681</v>
      </c>
      <c r="B684" s="103" t="s">
        <v>1426</v>
      </c>
    </row>
    <row r="685" customFormat="false" ht="10.5" hidden="false" customHeight="true" outlineLevel="0" collapsed="false">
      <c r="A685" s="100" t="n">
        <v>682</v>
      </c>
      <c r="B685" s="103" t="s">
        <v>1427</v>
      </c>
    </row>
    <row r="686" customFormat="false" ht="10.5" hidden="false" customHeight="true" outlineLevel="0" collapsed="false">
      <c r="A686" s="100" t="n">
        <v>683</v>
      </c>
      <c r="B686" s="103"/>
    </row>
    <row r="687" customFormat="false" ht="10.5" hidden="false" customHeight="true" outlineLevel="0" collapsed="false">
      <c r="A687" s="100" t="n">
        <v>684</v>
      </c>
      <c r="B687" s="103" t="s">
        <v>1428</v>
      </c>
    </row>
    <row r="688" customFormat="false" ht="10.5" hidden="false" customHeight="true" outlineLevel="0" collapsed="false">
      <c r="A688" s="100" t="n">
        <v>685</v>
      </c>
      <c r="B688" s="103" t="s">
        <v>1429</v>
      </c>
    </row>
    <row r="689" customFormat="false" ht="10.5" hidden="false" customHeight="true" outlineLevel="0" collapsed="false">
      <c r="A689" s="100" t="n">
        <v>686</v>
      </c>
      <c r="B689" s="103"/>
    </row>
    <row r="690" customFormat="false" ht="10.5" hidden="false" customHeight="true" outlineLevel="0" collapsed="false">
      <c r="A690" s="100" t="n">
        <v>687</v>
      </c>
      <c r="B690" s="103" t="s">
        <v>1430</v>
      </c>
    </row>
    <row r="691" customFormat="false" ht="10.5" hidden="false" customHeight="true" outlineLevel="0" collapsed="false">
      <c r="A691" s="100" t="n">
        <v>688</v>
      </c>
      <c r="B691" s="103" t="s">
        <v>1431</v>
      </c>
    </row>
    <row r="692" customFormat="false" ht="10.5" hidden="false" customHeight="true" outlineLevel="0" collapsed="false">
      <c r="A692" s="100" t="n">
        <v>689</v>
      </c>
      <c r="B692" s="103" t="s">
        <v>1432</v>
      </c>
    </row>
    <row r="693" customFormat="false" ht="10.5" hidden="false" customHeight="true" outlineLevel="0" collapsed="false">
      <c r="A693" s="100" t="n">
        <v>690</v>
      </c>
      <c r="B693" s="103" t="s">
        <v>1433</v>
      </c>
    </row>
    <row r="694" customFormat="false" ht="10.5" hidden="false" customHeight="true" outlineLevel="0" collapsed="false">
      <c r="A694" s="100" t="n">
        <v>691</v>
      </c>
      <c r="B694" s="103" t="s">
        <v>1434</v>
      </c>
    </row>
    <row r="695" customFormat="false" ht="10.5" hidden="false" customHeight="true" outlineLevel="0" collapsed="false">
      <c r="A695" s="100" t="n">
        <v>692</v>
      </c>
      <c r="B695" s="103" t="s">
        <v>1435</v>
      </c>
    </row>
    <row r="696" customFormat="false" ht="10.5" hidden="false" customHeight="true" outlineLevel="0" collapsed="false">
      <c r="A696" s="100" t="n">
        <v>693</v>
      </c>
      <c r="B696" s="103"/>
    </row>
    <row r="697" customFormat="false" ht="10.5" hidden="false" customHeight="true" outlineLevel="0" collapsed="false">
      <c r="A697" s="100" t="n">
        <v>694</v>
      </c>
      <c r="B697" s="103" t="s">
        <v>1436</v>
      </c>
    </row>
    <row r="698" customFormat="false" ht="10.5" hidden="false" customHeight="true" outlineLevel="0" collapsed="false">
      <c r="A698" s="100" t="n">
        <v>695</v>
      </c>
      <c r="B698" s="103" t="s">
        <v>1437</v>
      </c>
    </row>
    <row r="699" customFormat="false" ht="10.5" hidden="false" customHeight="true" outlineLevel="0" collapsed="false">
      <c r="A699" s="100" t="n">
        <v>696</v>
      </c>
      <c r="B699" s="103" t="s">
        <v>1438</v>
      </c>
    </row>
    <row r="700" customFormat="false" ht="10.5" hidden="false" customHeight="true" outlineLevel="0" collapsed="false">
      <c r="A700" s="100" t="n">
        <v>697</v>
      </c>
      <c r="B700" s="103" t="s">
        <v>1439</v>
      </c>
    </row>
    <row r="701" customFormat="false" ht="10.5" hidden="false" customHeight="true" outlineLevel="0" collapsed="false">
      <c r="A701" s="100" t="n">
        <v>698</v>
      </c>
      <c r="B701" s="103" t="s">
        <v>1440</v>
      </c>
    </row>
    <row r="702" customFormat="false" ht="10.5" hidden="false" customHeight="true" outlineLevel="0" collapsed="false">
      <c r="A702" s="100" t="n">
        <v>699</v>
      </c>
      <c r="B702" s="103" t="s">
        <v>1441</v>
      </c>
    </row>
    <row r="703" customFormat="false" ht="10.5" hidden="false" customHeight="true" outlineLevel="0" collapsed="false">
      <c r="A703" s="100" t="n">
        <v>700</v>
      </c>
      <c r="B703" s="103"/>
    </row>
    <row r="704" customFormat="false" ht="10.5" hidden="false" customHeight="true" outlineLevel="0" collapsed="false">
      <c r="A704" s="100" t="n">
        <v>701</v>
      </c>
      <c r="B704" s="103" t="s">
        <v>1442</v>
      </c>
    </row>
    <row r="705" customFormat="false" ht="10.5" hidden="false" customHeight="true" outlineLevel="0" collapsed="false">
      <c r="A705" s="100" t="n">
        <v>702</v>
      </c>
      <c r="B705" s="103" t="s">
        <v>1443</v>
      </c>
    </row>
    <row r="706" customFormat="false" ht="10.5" hidden="false" customHeight="true" outlineLevel="0" collapsed="false">
      <c r="A706" s="100" t="n">
        <v>703</v>
      </c>
      <c r="B706" s="103" t="s">
        <v>1444</v>
      </c>
    </row>
    <row r="707" customFormat="false" ht="10.5" hidden="false" customHeight="true" outlineLevel="0" collapsed="false">
      <c r="A707" s="100" t="n">
        <v>704</v>
      </c>
      <c r="B707" s="103" t="s">
        <v>1175</v>
      </c>
    </row>
    <row r="708" customFormat="false" ht="10.5" hidden="false" customHeight="true" outlineLevel="0" collapsed="false">
      <c r="A708" s="100" t="n">
        <v>705</v>
      </c>
      <c r="B708" s="103" t="s">
        <v>1445</v>
      </c>
    </row>
    <row r="709" customFormat="false" ht="10.5" hidden="false" customHeight="true" outlineLevel="0" collapsed="false">
      <c r="A709" s="100" t="n">
        <v>706</v>
      </c>
      <c r="B709" s="103"/>
    </row>
    <row r="710" customFormat="false" ht="10.5" hidden="false" customHeight="true" outlineLevel="0" collapsed="false">
      <c r="A710" s="100" t="n">
        <v>707</v>
      </c>
      <c r="B710" s="103" t="s">
        <v>1446</v>
      </c>
    </row>
    <row r="711" customFormat="false" ht="10.5" hidden="false" customHeight="true" outlineLevel="0" collapsed="false">
      <c r="A711" s="100" t="n">
        <v>708</v>
      </c>
      <c r="B711" s="103" t="s">
        <v>1113</v>
      </c>
    </row>
    <row r="712" customFormat="false" ht="10.5" hidden="false" customHeight="true" outlineLevel="0" collapsed="false">
      <c r="A712" s="100" t="n">
        <v>709</v>
      </c>
      <c r="B712" s="103"/>
    </row>
    <row r="713" customFormat="false" ht="10.5" hidden="false" customHeight="true" outlineLevel="0" collapsed="false">
      <c r="A713" s="100" t="n">
        <v>710</v>
      </c>
      <c r="B713" s="103"/>
    </row>
    <row r="714" customFormat="false" ht="10.5" hidden="false" customHeight="true" outlineLevel="0" collapsed="false">
      <c r="A714" s="100" t="n">
        <v>711</v>
      </c>
      <c r="B714" s="101" t="s">
        <v>1447</v>
      </c>
    </row>
    <row r="715" customFormat="false" ht="10.5" hidden="false" customHeight="true" outlineLevel="0" collapsed="false">
      <c r="A715" s="100" t="n">
        <v>712</v>
      </c>
      <c r="B715" s="103" t="s">
        <v>1017</v>
      </c>
    </row>
    <row r="716" customFormat="false" ht="10.5" hidden="false" customHeight="true" outlineLevel="0" collapsed="false">
      <c r="A716" s="100" t="n">
        <v>713</v>
      </c>
      <c r="B716" s="103"/>
    </row>
    <row r="717" customFormat="false" ht="10.5" hidden="false" customHeight="true" outlineLevel="0" collapsed="false">
      <c r="A717" s="100" t="n">
        <v>714</v>
      </c>
      <c r="B717" s="102" t="s">
        <v>1039</v>
      </c>
    </row>
    <row r="718" customFormat="false" ht="10.5" hidden="false" customHeight="true" outlineLevel="0" collapsed="false">
      <c r="A718" s="100" t="n">
        <v>715</v>
      </c>
      <c r="B718" s="102" t="s">
        <v>1448</v>
      </c>
    </row>
    <row r="719" customFormat="false" ht="10.5" hidden="false" customHeight="true" outlineLevel="0" collapsed="false">
      <c r="A719" s="100" t="n">
        <v>716</v>
      </c>
      <c r="B719" s="102" t="s">
        <v>1449</v>
      </c>
    </row>
    <row r="720" customFormat="false" ht="10.5" hidden="false" customHeight="true" outlineLevel="0" collapsed="false">
      <c r="A720" s="100" t="n">
        <v>717</v>
      </c>
      <c r="B720" s="102" t="s">
        <v>1450</v>
      </c>
    </row>
    <row r="721" customFormat="false" ht="10.5" hidden="false" customHeight="true" outlineLevel="0" collapsed="false">
      <c r="A721" s="100" t="n">
        <v>718</v>
      </c>
      <c r="B721" s="102" t="s">
        <v>1039</v>
      </c>
    </row>
    <row r="722" customFormat="false" ht="10.5" hidden="false" customHeight="true" outlineLevel="0" collapsed="false">
      <c r="A722" s="100" t="n">
        <v>719</v>
      </c>
      <c r="B722" s="103" t="s">
        <v>1451</v>
      </c>
    </row>
    <row r="723" customFormat="false" ht="10.5" hidden="false" customHeight="true" outlineLevel="0" collapsed="false">
      <c r="A723" s="100" t="n">
        <v>720</v>
      </c>
      <c r="B723" s="103" t="s">
        <v>1452</v>
      </c>
    </row>
    <row r="724" customFormat="false" ht="10.5" hidden="false" customHeight="true" outlineLevel="0" collapsed="false">
      <c r="A724" s="100" t="n">
        <v>721</v>
      </c>
      <c r="B724" s="103" t="s">
        <v>1453</v>
      </c>
    </row>
    <row r="725" customFormat="false" ht="10.5" hidden="false" customHeight="true" outlineLevel="0" collapsed="false">
      <c r="A725" s="100" t="n">
        <v>722</v>
      </c>
      <c r="B725" s="103" t="s">
        <v>1454</v>
      </c>
    </row>
    <row r="726" customFormat="false" ht="10.5" hidden="false" customHeight="true" outlineLevel="0" collapsed="false">
      <c r="A726" s="100" t="n">
        <v>723</v>
      </c>
      <c r="B726" s="103" t="s">
        <v>1455</v>
      </c>
    </row>
    <row r="727" customFormat="false" ht="10.5" hidden="false" customHeight="true" outlineLevel="0" collapsed="false">
      <c r="A727" s="100" t="n">
        <v>724</v>
      </c>
      <c r="B727" s="103"/>
    </row>
    <row r="728" customFormat="false" ht="10.5" hidden="false" customHeight="true" outlineLevel="0" collapsed="false">
      <c r="A728" s="100" t="n">
        <v>725</v>
      </c>
      <c r="B728" s="103" t="s">
        <v>1456</v>
      </c>
    </row>
    <row r="729" customFormat="false" ht="10.5" hidden="false" customHeight="true" outlineLevel="0" collapsed="false">
      <c r="A729" s="100" t="n">
        <v>726</v>
      </c>
      <c r="B729" s="103"/>
    </row>
    <row r="730" customFormat="false" ht="10.5" hidden="false" customHeight="true" outlineLevel="0" collapsed="false">
      <c r="A730" s="100" t="n">
        <v>727</v>
      </c>
      <c r="B730" s="103" t="s">
        <v>1457</v>
      </c>
    </row>
    <row r="731" customFormat="false" ht="10.5" hidden="false" customHeight="true" outlineLevel="0" collapsed="false">
      <c r="A731" s="100" t="n">
        <v>728</v>
      </c>
      <c r="B731" s="103" t="s">
        <v>1458</v>
      </c>
    </row>
    <row r="732" customFormat="false" ht="10.5" hidden="false" customHeight="true" outlineLevel="0" collapsed="false">
      <c r="A732" s="100" t="n">
        <v>729</v>
      </c>
      <c r="B732" s="103" t="s">
        <v>1459</v>
      </c>
    </row>
    <row r="733" customFormat="false" ht="10.5" hidden="false" customHeight="true" outlineLevel="0" collapsed="false">
      <c r="A733" s="100" t="n">
        <v>730</v>
      </c>
      <c r="B733" s="103"/>
    </row>
    <row r="734" customFormat="false" ht="10.5" hidden="false" customHeight="true" outlineLevel="0" collapsed="false">
      <c r="A734" s="100" t="n">
        <v>731</v>
      </c>
      <c r="B734" s="103" t="s">
        <v>1460</v>
      </c>
    </row>
    <row r="735" customFormat="false" ht="10.5" hidden="false" customHeight="true" outlineLevel="0" collapsed="false">
      <c r="A735" s="100" t="n">
        <v>732</v>
      </c>
      <c r="B735" s="103" t="s">
        <v>1461</v>
      </c>
    </row>
    <row r="736" customFormat="false" ht="10.5" hidden="false" customHeight="true" outlineLevel="0" collapsed="false">
      <c r="A736" s="100" t="n">
        <v>733</v>
      </c>
      <c r="B736" s="103" t="s">
        <v>1462</v>
      </c>
    </row>
    <row r="737" customFormat="false" ht="10.5" hidden="false" customHeight="true" outlineLevel="0" collapsed="false">
      <c r="A737" s="100" t="n">
        <v>734</v>
      </c>
      <c r="B737" s="103" t="s">
        <v>1463</v>
      </c>
    </row>
    <row r="738" customFormat="false" ht="10.5" hidden="false" customHeight="true" outlineLevel="0" collapsed="false">
      <c r="A738" s="100" t="n">
        <v>735</v>
      </c>
      <c r="B738" s="103" t="s">
        <v>1464</v>
      </c>
    </row>
    <row r="739" customFormat="false" ht="10.5" hidden="false" customHeight="true" outlineLevel="0" collapsed="false">
      <c r="A739" s="100" t="n">
        <v>736</v>
      </c>
      <c r="B739" s="103" t="s">
        <v>1465</v>
      </c>
    </row>
    <row r="740" customFormat="false" ht="10.5" hidden="false" customHeight="true" outlineLevel="0" collapsed="false">
      <c r="A740" s="100" t="n">
        <v>737</v>
      </c>
      <c r="B740" s="103" t="s">
        <v>1466</v>
      </c>
    </row>
    <row r="741" customFormat="false" ht="10.5" hidden="false" customHeight="true" outlineLevel="0" collapsed="false">
      <c r="A741" s="100" t="n">
        <v>738</v>
      </c>
      <c r="B741" s="103" t="s">
        <v>1467</v>
      </c>
    </row>
    <row r="742" customFormat="false" ht="10.5" hidden="false" customHeight="true" outlineLevel="0" collapsed="false">
      <c r="A742" s="100" t="n">
        <v>739</v>
      </c>
      <c r="B742" s="103" t="s">
        <v>1468</v>
      </c>
    </row>
    <row r="743" customFormat="false" ht="10.5" hidden="false" customHeight="true" outlineLevel="0" collapsed="false">
      <c r="A743" s="100" t="n">
        <v>740</v>
      </c>
      <c r="B743" s="103" t="s">
        <v>1469</v>
      </c>
    </row>
    <row r="744" customFormat="false" ht="10.5" hidden="false" customHeight="true" outlineLevel="0" collapsed="false">
      <c r="A744" s="100" t="n">
        <v>741</v>
      </c>
      <c r="B744" s="103" t="s">
        <v>1470</v>
      </c>
    </row>
    <row r="745" customFormat="false" ht="10.5" hidden="false" customHeight="true" outlineLevel="0" collapsed="false">
      <c r="A745" s="100" t="n">
        <v>742</v>
      </c>
      <c r="B745" s="103" t="s">
        <v>1471</v>
      </c>
    </row>
    <row r="746" customFormat="false" ht="10.5" hidden="false" customHeight="true" outlineLevel="0" collapsed="false">
      <c r="A746" s="100" t="n">
        <v>743</v>
      </c>
      <c r="B746" s="103" t="s">
        <v>1472</v>
      </c>
    </row>
    <row r="747" customFormat="false" ht="10.5" hidden="false" customHeight="true" outlineLevel="0" collapsed="false">
      <c r="A747" s="100" t="n">
        <v>744</v>
      </c>
      <c r="B747" s="103" t="s">
        <v>1473</v>
      </c>
    </row>
    <row r="748" customFormat="false" ht="10.5" hidden="false" customHeight="true" outlineLevel="0" collapsed="false">
      <c r="A748" s="100" t="n">
        <v>745</v>
      </c>
      <c r="B748" s="103" t="s">
        <v>1474</v>
      </c>
    </row>
    <row r="749" customFormat="false" ht="10.5" hidden="false" customHeight="true" outlineLevel="0" collapsed="false">
      <c r="A749" s="100" t="n">
        <v>746</v>
      </c>
      <c r="B749" s="103" t="s">
        <v>1081</v>
      </c>
    </row>
    <row r="750" customFormat="false" ht="10.5" hidden="false" customHeight="true" outlineLevel="0" collapsed="false">
      <c r="A750" s="100" t="n">
        <v>747</v>
      </c>
      <c r="B750" s="103"/>
    </row>
    <row r="751" customFormat="false" ht="10.5" hidden="false" customHeight="true" outlineLevel="0" collapsed="false">
      <c r="A751" s="100" t="n">
        <v>748</v>
      </c>
      <c r="B751" s="103"/>
    </row>
    <row r="752" customFormat="false" ht="10.5" hidden="false" customHeight="true" outlineLevel="0" collapsed="false">
      <c r="A752" s="100" t="n">
        <v>749</v>
      </c>
      <c r="B752" s="101" t="s">
        <v>1475</v>
      </c>
    </row>
    <row r="753" customFormat="false" ht="10.5" hidden="false" customHeight="true" outlineLevel="0" collapsed="false">
      <c r="A753" s="100" t="n">
        <v>750</v>
      </c>
      <c r="B753" s="103" t="s">
        <v>1017</v>
      </c>
    </row>
    <row r="754" customFormat="false" ht="10.5" hidden="false" customHeight="true" outlineLevel="0" collapsed="false">
      <c r="A754" s="100" t="n">
        <v>751</v>
      </c>
      <c r="B754" s="103"/>
    </row>
    <row r="755" customFormat="false" ht="10.5" hidden="false" customHeight="true" outlineLevel="0" collapsed="false">
      <c r="A755" s="100" t="n">
        <v>752</v>
      </c>
      <c r="B755" s="103" t="s">
        <v>1476</v>
      </c>
    </row>
    <row r="756" customFormat="false" ht="10.5" hidden="false" customHeight="true" outlineLevel="0" collapsed="false">
      <c r="A756" s="100" t="n">
        <v>753</v>
      </c>
      <c r="B756" s="103" t="s">
        <v>1477</v>
      </c>
    </row>
    <row r="757" customFormat="false" ht="10.5" hidden="false" customHeight="true" outlineLevel="0" collapsed="false">
      <c r="A757" s="100" t="n">
        <v>754</v>
      </c>
      <c r="B757" s="103" t="s">
        <v>1113</v>
      </c>
    </row>
    <row r="758" customFormat="false" ht="10.5" hidden="false" customHeight="true" outlineLevel="0" collapsed="false">
      <c r="A758" s="100" t="n">
        <v>755</v>
      </c>
      <c r="B758" s="103"/>
    </row>
    <row r="759" customFormat="false" ht="10.5" hidden="false" customHeight="true" outlineLevel="0" collapsed="false">
      <c r="A759" s="100" t="n">
        <v>756</v>
      </c>
      <c r="B759" s="103" t="s">
        <v>1478</v>
      </c>
    </row>
    <row r="760" customFormat="false" ht="10.5" hidden="false" customHeight="true" outlineLevel="0" collapsed="false">
      <c r="A760" s="100" t="n">
        <v>757</v>
      </c>
      <c r="B760" s="103" t="s">
        <v>1479</v>
      </c>
    </row>
    <row r="761" customFormat="false" ht="10.5" hidden="false" customHeight="true" outlineLevel="0" collapsed="false">
      <c r="A761" s="100" t="n">
        <v>758</v>
      </c>
      <c r="B761" s="103" t="s">
        <v>1480</v>
      </c>
    </row>
    <row r="762" customFormat="false" ht="10.5" hidden="false" customHeight="true" outlineLevel="0" collapsed="false">
      <c r="A762" s="100" t="n">
        <v>759</v>
      </c>
      <c r="B762" s="103" t="s">
        <v>1481</v>
      </c>
    </row>
    <row r="763" customFormat="false" ht="10.5" hidden="false" customHeight="true" outlineLevel="0" collapsed="false">
      <c r="A763" s="100" t="n">
        <v>760</v>
      </c>
      <c r="B763" s="103" t="s">
        <v>1482</v>
      </c>
    </row>
    <row r="764" customFormat="false" ht="10.5" hidden="false" customHeight="true" outlineLevel="0" collapsed="false">
      <c r="A764" s="100" t="n">
        <v>761</v>
      </c>
      <c r="B764" s="103" t="s">
        <v>1067</v>
      </c>
    </row>
    <row r="765" customFormat="false" ht="10.5" hidden="false" customHeight="true" outlineLevel="0" collapsed="false">
      <c r="A765" s="100" t="n">
        <v>762</v>
      </c>
      <c r="B765" s="103" t="s">
        <v>1081</v>
      </c>
    </row>
    <row r="766" customFormat="false" ht="10.5" hidden="false" customHeight="true" outlineLevel="0" collapsed="false">
      <c r="A766" s="100" t="n">
        <v>763</v>
      </c>
      <c r="B766" s="103"/>
    </row>
    <row r="767" customFormat="false" ht="10.5" hidden="false" customHeight="true" outlineLevel="0" collapsed="false">
      <c r="A767" s="100" t="n">
        <v>764</v>
      </c>
      <c r="B767" s="103" t="s">
        <v>1483</v>
      </c>
    </row>
    <row r="768" customFormat="false" ht="10.5" hidden="false" customHeight="true" outlineLevel="0" collapsed="false">
      <c r="A768" s="100" t="n">
        <v>765</v>
      </c>
      <c r="B768" s="103" t="s">
        <v>1385</v>
      </c>
    </row>
    <row r="769" customFormat="false" ht="10.5" hidden="false" customHeight="true" outlineLevel="0" collapsed="false">
      <c r="A769" s="100" t="n">
        <v>766</v>
      </c>
      <c r="B769" s="103" t="s">
        <v>1484</v>
      </c>
    </row>
    <row r="770" customFormat="false" ht="10.5" hidden="false" customHeight="true" outlineLevel="0" collapsed="false">
      <c r="A770" s="100" t="n">
        <v>767</v>
      </c>
      <c r="B770" s="103" t="s">
        <v>1485</v>
      </c>
    </row>
    <row r="771" customFormat="false" ht="10.5" hidden="false" customHeight="true" outlineLevel="0" collapsed="false">
      <c r="A771" s="100" t="n">
        <v>768</v>
      </c>
      <c r="B771" s="103" t="s">
        <v>1486</v>
      </c>
    </row>
    <row r="772" customFormat="false" ht="10.5" hidden="false" customHeight="true" outlineLevel="0" collapsed="false">
      <c r="A772" s="100" t="n">
        <v>769</v>
      </c>
      <c r="B772" s="103" t="s">
        <v>1237</v>
      </c>
    </row>
    <row r="773" customFormat="false" ht="10.5" hidden="false" customHeight="true" outlineLevel="0" collapsed="false">
      <c r="A773" s="100" t="n">
        <v>770</v>
      </c>
      <c r="B773" s="103" t="s">
        <v>1175</v>
      </c>
    </row>
    <row r="774" customFormat="false" ht="10.5" hidden="false" customHeight="true" outlineLevel="0" collapsed="false">
      <c r="A774" s="100" t="n">
        <v>771</v>
      </c>
      <c r="B774" s="103" t="s">
        <v>1487</v>
      </c>
    </row>
    <row r="775" customFormat="false" ht="10.5" hidden="false" customHeight="true" outlineLevel="0" collapsed="false">
      <c r="A775" s="100" t="n">
        <v>772</v>
      </c>
      <c r="B775" s="103" t="s">
        <v>1113</v>
      </c>
    </row>
    <row r="776" customFormat="false" ht="10.5" hidden="false" customHeight="true" outlineLevel="0" collapsed="false">
      <c r="A776" s="100" t="n">
        <v>773</v>
      </c>
      <c r="B776" s="103"/>
    </row>
    <row r="777" customFormat="false" ht="10.5" hidden="false" customHeight="true" outlineLevel="0" collapsed="false">
      <c r="A777" s="100" t="n">
        <v>774</v>
      </c>
      <c r="B777" s="103" t="s">
        <v>1488</v>
      </c>
    </row>
    <row r="778" customFormat="false" ht="10.5" hidden="false" customHeight="true" outlineLevel="0" collapsed="false">
      <c r="A778" s="100" t="n">
        <v>775</v>
      </c>
      <c r="B778" s="103" t="s">
        <v>1343</v>
      </c>
    </row>
    <row r="779" customFormat="false" ht="10.5" hidden="false" customHeight="true" outlineLevel="0" collapsed="false">
      <c r="A779" s="100" t="n">
        <v>776</v>
      </c>
      <c r="B779" s="103" t="s">
        <v>1489</v>
      </c>
    </row>
    <row r="780" customFormat="false" ht="10.5" hidden="false" customHeight="true" outlineLevel="0" collapsed="false">
      <c r="A780" s="100" t="n">
        <v>777</v>
      </c>
      <c r="B780" s="103" t="s">
        <v>1113</v>
      </c>
    </row>
    <row r="781" customFormat="false" ht="10.5" hidden="false" customHeight="true" outlineLevel="0" collapsed="false">
      <c r="A781" s="100" t="n">
        <v>778</v>
      </c>
      <c r="B781" s="103"/>
    </row>
    <row r="782" customFormat="false" ht="10.5" hidden="false" customHeight="true" outlineLevel="0" collapsed="false">
      <c r="A782" s="100" t="n">
        <v>779</v>
      </c>
      <c r="B782" s="103" t="s">
        <v>1490</v>
      </c>
    </row>
    <row r="783" customFormat="false" ht="10.5" hidden="false" customHeight="true" outlineLevel="0" collapsed="false">
      <c r="A783" s="100" t="n">
        <v>780</v>
      </c>
      <c r="B783" s="103" t="s">
        <v>1491</v>
      </c>
    </row>
    <row r="784" customFormat="false" ht="10.5" hidden="false" customHeight="true" outlineLevel="0" collapsed="false">
      <c r="A784" s="100" t="n">
        <v>781</v>
      </c>
      <c r="B784" s="103" t="s">
        <v>1492</v>
      </c>
    </row>
    <row r="785" customFormat="false" ht="10.5" hidden="false" customHeight="true" outlineLevel="0" collapsed="false">
      <c r="A785" s="100" t="n">
        <v>782</v>
      </c>
      <c r="B785" s="103" t="s">
        <v>1493</v>
      </c>
    </row>
    <row r="786" customFormat="false" ht="10.5" hidden="false" customHeight="true" outlineLevel="0" collapsed="false">
      <c r="A786" s="100" t="n">
        <v>783</v>
      </c>
      <c r="B786" s="103" t="s">
        <v>1494</v>
      </c>
    </row>
    <row r="787" customFormat="false" ht="10.5" hidden="false" customHeight="true" outlineLevel="0" collapsed="false">
      <c r="A787" s="100" t="n">
        <v>784</v>
      </c>
      <c r="B787" s="103" t="s">
        <v>1067</v>
      </c>
    </row>
    <row r="788" customFormat="false" ht="10.5" hidden="false" customHeight="true" outlineLevel="0" collapsed="false">
      <c r="A788" s="100" t="n">
        <v>785</v>
      </c>
      <c r="B788" s="103" t="s">
        <v>1113</v>
      </c>
    </row>
    <row r="789" customFormat="false" ht="10.5" hidden="false" customHeight="true" outlineLevel="0" collapsed="false">
      <c r="A789" s="100" t="n">
        <v>786</v>
      </c>
      <c r="B789" s="103"/>
    </row>
    <row r="790" customFormat="false" ht="10.5" hidden="false" customHeight="true" outlineLevel="0" collapsed="false">
      <c r="A790" s="100" t="n">
        <v>787</v>
      </c>
      <c r="B790" s="103" t="s">
        <v>1495</v>
      </c>
    </row>
    <row r="791" customFormat="false" ht="10.5" hidden="false" customHeight="true" outlineLevel="0" collapsed="false">
      <c r="A791" s="100" t="n">
        <v>788</v>
      </c>
      <c r="B791" s="103" t="s">
        <v>1496</v>
      </c>
    </row>
    <row r="792" customFormat="false" ht="10.5" hidden="false" customHeight="true" outlineLevel="0" collapsed="false">
      <c r="A792" s="100" t="n">
        <v>789</v>
      </c>
      <c r="B792" s="103" t="s">
        <v>1113</v>
      </c>
    </row>
    <row r="793" customFormat="false" ht="10.5" hidden="false" customHeight="true" outlineLevel="0" collapsed="false">
      <c r="A793" s="100" t="n">
        <v>790</v>
      </c>
      <c r="B793" s="103"/>
    </row>
    <row r="794" customFormat="false" ht="10.5" hidden="false" customHeight="true" outlineLevel="0" collapsed="false">
      <c r="A794" s="100" t="n">
        <v>791</v>
      </c>
      <c r="B794" s="102" t="s">
        <v>1039</v>
      </c>
    </row>
    <row r="795" customFormat="false" ht="10.5" hidden="false" customHeight="true" outlineLevel="0" collapsed="false">
      <c r="A795" s="100" t="n">
        <v>792</v>
      </c>
      <c r="B795" s="102" t="s">
        <v>1497</v>
      </c>
    </row>
    <row r="796" customFormat="false" ht="10.5" hidden="false" customHeight="true" outlineLevel="0" collapsed="false">
      <c r="A796" s="100" t="n">
        <v>793</v>
      </c>
      <c r="B796" s="102" t="s">
        <v>1498</v>
      </c>
    </row>
    <row r="797" customFormat="false" ht="10.5" hidden="false" customHeight="true" outlineLevel="0" collapsed="false">
      <c r="A797" s="100" t="n">
        <v>794</v>
      </c>
      <c r="B797" s="102" t="s">
        <v>1499</v>
      </c>
    </row>
    <row r="798" customFormat="false" ht="10.5" hidden="false" customHeight="true" outlineLevel="0" collapsed="false">
      <c r="A798" s="100" t="n">
        <v>795</v>
      </c>
      <c r="B798" s="102" t="s">
        <v>1039</v>
      </c>
    </row>
    <row r="799" customFormat="false" ht="10.5" hidden="false" customHeight="true" outlineLevel="0" collapsed="false">
      <c r="A799" s="100" t="n">
        <v>796</v>
      </c>
      <c r="B799" s="103" t="s">
        <v>1500</v>
      </c>
    </row>
    <row r="800" customFormat="false" ht="10.5" hidden="false" customHeight="true" outlineLevel="0" collapsed="false">
      <c r="A800" s="100" t="n">
        <v>797</v>
      </c>
      <c r="B800" s="103" t="s">
        <v>1501</v>
      </c>
    </row>
    <row r="801" customFormat="false" ht="10.5" hidden="false" customHeight="true" outlineLevel="0" collapsed="false">
      <c r="A801" s="100" t="n">
        <v>798</v>
      </c>
      <c r="B801" s="103" t="s">
        <v>1502</v>
      </c>
    </row>
    <row r="802" customFormat="false" ht="10.5" hidden="false" customHeight="true" outlineLevel="0" collapsed="false">
      <c r="A802" s="100" t="n">
        <v>799</v>
      </c>
      <c r="B802" s="103" t="s">
        <v>1503</v>
      </c>
    </row>
    <row r="803" customFormat="false" ht="10.5" hidden="false" customHeight="true" outlineLevel="0" collapsed="false">
      <c r="A803" s="100" t="n">
        <v>800</v>
      </c>
      <c r="B803" s="103" t="s">
        <v>1504</v>
      </c>
    </row>
    <row r="804" customFormat="false" ht="10.5" hidden="false" customHeight="true" outlineLevel="0" collapsed="false">
      <c r="A804" s="100" t="n">
        <v>801</v>
      </c>
      <c r="B804" s="103" t="s">
        <v>1505</v>
      </c>
    </row>
    <row r="805" customFormat="false" ht="10.5" hidden="false" customHeight="true" outlineLevel="0" collapsed="false">
      <c r="A805" s="100" t="n">
        <v>802</v>
      </c>
      <c r="B805" s="103" t="s">
        <v>1506</v>
      </c>
    </row>
    <row r="806" customFormat="false" ht="10.5" hidden="false" customHeight="true" outlineLevel="0" collapsed="false">
      <c r="A806" s="100" t="n">
        <v>803</v>
      </c>
      <c r="B806" s="103" t="s">
        <v>1282</v>
      </c>
    </row>
    <row r="807" customFormat="false" ht="10.5" hidden="false" customHeight="true" outlineLevel="0" collapsed="false">
      <c r="A807" s="100" t="n">
        <v>804</v>
      </c>
      <c r="B807" s="103" t="s">
        <v>1507</v>
      </c>
    </row>
    <row r="808" customFormat="false" ht="10.5" hidden="false" customHeight="true" outlineLevel="0" collapsed="false">
      <c r="A808" s="100" t="n">
        <v>805</v>
      </c>
      <c r="B808" s="103" t="s">
        <v>1508</v>
      </c>
    </row>
    <row r="809" customFormat="false" ht="10.5" hidden="false" customHeight="true" outlineLevel="0" collapsed="false">
      <c r="A809" s="100" t="n">
        <v>806</v>
      </c>
      <c r="B809" s="103" t="s">
        <v>1509</v>
      </c>
    </row>
    <row r="810" customFormat="false" ht="10.5" hidden="false" customHeight="true" outlineLevel="0" collapsed="false">
      <c r="A810" s="100" t="n">
        <v>807</v>
      </c>
      <c r="B810" s="103" t="s">
        <v>1510</v>
      </c>
    </row>
    <row r="811" customFormat="false" ht="10.5" hidden="false" customHeight="true" outlineLevel="0" collapsed="false">
      <c r="A811" s="100" t="n">
        <v>808</v>
      </c>
      <c r="B811" s="103" t="s">
        <v>1511</v>
      </c>
    </row>
    <row r="812" customFormat="false" ht="10.5" hidden="false" customHeight="true" outlineLevel="0" collapsed="false">
      <c r="A812" s="100" t="n">
        <v>809</v>
      </c>
      <c r="B812" s="103" t="s">
        <v>1175</v>
      </c>
    </row>
    <row r="813" customFormat="false" ht="10.5" hidden="false" customHeight="true" outlineLevel="0" collapsed="false">
      <c r="A813" s="100" t="n">
        <v>810</v>
      </c>
      <c r="B813" s="103" t="s">
        <v>1117</v>
      </c>
    </row>
    <row r="814" customFormat="false" ht="10.5" hidden="false" customHeight="true" outlineLevel="0" collapsed="false">
      <c r="A814" s="100" t="n">
        <v>811</v>
      </c>
      <c r="B814" s="103" t="s">
        <v>1081</v>
      </c>
    </row>
  </sheetData>
  <mergeCells count="2">
    <mergeCell ref="A1:B1"/>
    <mergeCell ref="A2:B2"/>
  </mergeCells>
  <printOptions headings="false" gridLines="false" gridLinesSet="true" horizontalCentered="false" verticalCentered="false"/>
  <pageMargins left="0.3" right="0.3" top="1" bottom="1" header="0.5" footer="0.5"/>
  <pageSetup paperSize="9" scale="100" fitToWidth="1" fitToHeight="0" pageOrder="downThenOver" orientation="portrait" blackAndWhite="false" draft="false" cellComments="none" horizontalDpi="300" verticalDpi="300" copies="1"/>
  <headerFooter differentFirst="false" differentOddEven="false">
    <oddHeader>&amp;L&amp;"Arial,Bold"&amp;9Halcyon Metalworks Kft.&amp;R&amp;"Arial,Regular"&amp;9Cost centre reporting tool v2.4</oddHeader>
    <oddFooter>&amp;L&amp;"Arial,Regular"&amp;8Illustrative sample, fictional data - prepared by Tarlan Charkasov, ACCA&amp;R&amp;"Arial,Regular"&amp;8Page &amp;P of &amp;N</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I23"/>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3"/>
    <col collapsed="false" customWidth="true" hidden="false" outlineLevel="0" max="2" min="2" style="0" width="34"/>
    <col collapsed="false" customWidth="true" hidden="false" outlineLevel="0" max="3" min="3" style="0" width="14"/>
    <col collapsed="false" customWidth="true" hidden="false" outlineLevel="0" max="4" min="4" style="0" width="4"/>
    <col collapsed="false" customWidth="true" hidden="false" outlineLevel="0" max="5" min="5" style="0" width="20"/>
    <col collapsed="false" customWidth="true" hidden="false" outlineLevel="0" max="8" min="6" style="0" width="18"/>
    <col collapsed="false" customWidth="true" hidden="false" outlineLevel="0" max="9" min="9" style="0" width="34"/>
  </cols>
  <sheetData>
    <row r="1" customFormat="false" ht="24" hidden="false" customHeight="true" outlineLevel="0" collapsed="false">
      <c r="A1" s="18" t="s">
        <v>63</v>
      </c>
      <c r="B1" s="18"/>
      <c r="C1" s="18"/>
      <c r="D1" s="18"/>
      <c r="E1" s="18"/>
      <c r="F1" s="18"/>
      <c r="G1" s="18"/>
      <c r="H1" s="18"/>
      <c r="I1" s="18"/>
    </row>
    <row r="2" customFormat="false" ht="15" hidden="false" customHeight="true" outlineLevel="0" collapsed="false">
      <c r="A2" s="19" t="s">
        <v>64</v>
      </c>
      <c r="B2" s="19"/>
      <c r="C2" s="19"/>
      <c r="D2" s="19"/>
      <c r="E2" s="19"/>
      <c r="F2" s="19"/>
      <c r="G2" s="19"/>
      <c r="H2" s="19"/>
      <c r="I2" s="19"/>
    </row>
    <row r="4" customFormat="false" ht="16.5" hidden="false" customHeight="true" outlineLevel="0" collapsed="false">
      <c r="A4" s="9" t="s">
        <v>65</v>
      </c>
      <c r="B4" s="9"/>
      <c r="C4" s="9"/>
      <c r="D4" s="9"/>
      <c r="E4" s="9"/>
      <c r="F4" s="9"/>
      <c r="G4" s="9"/>
      <c r="H4" s="9"/>
      <c r="I4" s="9"/>
    </row>
    <row r="5" customFormat="false" ht="25.5" hidden="false" customHeight="true" outlineLevel="0" collapsed="false">
      <c r="B5" s="20" t="s">
        <v>66</v>
      </c>
      <c r="C5" s="20"/>
      <c r="E5" s="21" t="s">
        <v>67</v>
      </c>
      <c r="F5" s="22" t="s">
        <v>68</v>
      </c>
      <c r="G5" s="22"/>
      <c r="H5" s="22"/>
      <c r="I5" s="22"/>
    </row>
    <row r="6" customFormat="false" ht="25.5" hidden="false" customHeight="true" outlineLevel="0" collapsed="false">
      <c r="B6" s="20" t="s">
        <v>69</v>
      </c>
      <c r="C6" s="20"/>
      <c r="E6" s="21" t="s">
        <v>70</v>
      </c>
      <c r="F6" s="22" t="s">
        <v>71</v>
      </c>
      <c r="G6" s="22"/>
      <c r="H6" s="22"/>
      <c r="I6" s="22"/>
    </row>
    <row r="7" customFormat="false" ht="25.5" hidden="false" customHeight="true" outlineLevel="0" collapsed="false">
      <c r="B7" s="20" t="s">
        <v>72</v>
      </c>
      <c r="C7" s="20"/>
      <c r="E7" s="21" t="s">
        <v>73</v>
      </c>
      <c r="F7" s="22" t="s">
        <v>74</v>
      </c>
      <c r="G7" s="22"/>
      <c r="H7" s="22"/>
      <c r="I7" s="22"/>
    </row>
    <row r="8" customFormat="false" ht="16.5" hidden="false" customHeight="true" outlineLevel="0" collapsed="false">
      <c r="A8" s="9" t="s">
        <v>75</v>
      </c>
      <c r="B8" s="9"/>
      <c r="C8" s="9"/>
      <c r="D8" s="9"/>
      <c r="E8" s="9"/>
      <c r="F8" s="9"/>
      <c r="G8" s="9"/>
      <c r="H8" s="9"/>
      <c r="I8" s="9"/>
    </row>
    <row r="9" customFormat="false" ht="15.75" hidden="false" customHeight="true" outlineLevel="0" collapsed="false">
      <c r="B9" s="23" t="s">
        <v>76</v>
      </c>
      <c r="E9" s="24" t="s">
        <v>77</v>
      </c>
      <c r="F9" s="24"/>
      <c r="G9" s="24"/>
      <c r="H9" s="24"/>
      <c r="I9" s="25" t="s">
        <v>78</v>
      </c>
    </row>
    <row r="11" customFormat="false" ht="15.75" hidden="false" customHeight="true" outlineLevel="0" collapsed="false">
      <c r="B11" s="23" t="s">
        <v>79</v>
      </c>
      <c r="E11" s="24" t="s">
        <v>80</v>
      </c>
      <c r="F11" s="24"/>
      <c r="G11" s="24"/>
      <c r="H11" s="24"/>
      <c r="I11" s="25" t="s">
        <v>81</v>
      </c>
    </row>
    <row r="12" customFormat="false" ht="15.75" hidden="false" customHeight="true" outlineLevel="0" collapsed="false">
      <c r="B12" s="23" t="s">
        <v>82</v>
      </c>
      <c r="E12" s="24" t="s">
        <v>83</v>
      </c>
      <c r="F12" s="24"/>
      <c r="G12" s="24"/>
      <c r="H12" s="24"/>
      <c r="I12" s="25" t="s">
        <v>84</v>
      </c>
    </row>
    <row r="13" customFormat="false" ht="15.75" hidden="false" customHeight="true" outlineLevel="0" collapsed="false">
      <c r="B13" s="23" t="s">
        <v>85</v>
      </c>
      <c r="E13" s="24" t="s">
        <v>86</v>
      </c>
      <c r="F13" s="24"/>
      <c r="G13" s="24"/>
      <c r="H13" s="24"/>
      <c r="I13" s="25" t="s">
        <v>87</v>
      </c>
    </row>
    <row r="15" customFormat="false" ht="15.75" hidden="false" customHeight="true" outlineLevel="0" collapsed="false">
      <c r="B15" s="23" t="s">
        <v>88</v>
      </c>
      <c r="E15" s="24" t="s">
        <v>89</v>
      </c>
      <c r="F15" s="24"/>
      <c r="G15" s="24"/>
      <c r="H15" s="24"/>
      <c r="I15" s="25" t="s">
        <v>90</v>
      </c>
    </row>
    <row r="16" customFormat="false" ht="15.75" hidden="false" customHeight="true" outlineLevel="0" collapsed="false">
      <c r="B16" s="23" t="s">
        <v>91</v>
      </c>
      <c r="E16" s="26" t="n">
        <v>0.5</v>
      </c>
      <c r="F16" s="26"/>
      <c r="G16" s="26"/>
      <c r="H16" s="26"/>
      <c r="I16" s="25" t="s">
        <v>92</v>
      </c>
    </row>
    <row r="18" customFormat="false" ht="16.5" hidden="false" customHeight="true" outlineLevel="0" collapsed="false">
      <c r="A18" s="9" t="s">
        <v>93</v>
      </c>
      <c r="B18" s="9"/>
      <c r="C18" s="9"/>
      <c r="D18" s="9"/>
      <c r="E18" s="9"/>
      <c r="F18" s="9"/>
      <c r="G18" s="9"/>
      <c r="H18" s="9"/>
      <c r="I18" s="9"/>
    </row>
    <row r="19" customFormat="false" ht="15" hidden="false" customHeight="true" outlineLevel="0" collapsed="false">
      <c r="B19" s="27" t="s">
        <v>94</v>
      </c>
      <c r="C19" s="28" t="n">
        <f aca="false">'Audit Trail'!$B$12</f>
        <v>46206.6047685185</v>
      </c>
      <c r="E19" s="29" t="s">
        <v>95</v>
      </c>
      <c r="F19" s="29"/>
      <c r="G19" s="29"/>
      <c r="H19" s="29"/>
      <c r="I19" s="29"/>
    </row>
    <row r="20" customFormat="false" ht="15" hidden="false" customHeight="false" outlineLevel="0" collapsed="false">
      <c r="B20" s="27" t="s">
        <v>96</v>
      </c>
      <c r="C20" s="30" t="str">
        <f aca="false">'Audit Trail'!$M$12</f>
        <v>OK</v>
      </c>
      <c r="E20" s="29"/>
      <c r="F20" s="29"/>
      <c r="G20" s="29"/>
      <c r="H20" s="29"/>
      <c r="I20" s="29"/>
    </row>
    <row r="21" customFormat="false" ht="15" hidden="false" customHeight="false" outlineLevel="0" collapsed="false">
      <c r="B21" s="27" t="s">
        <v>97</v>
      </c>
      <c r="C21" s="31" t="n">
        <f aca="false">'Audit Trail'!$F$12</f>
        <v>530</v>
      </c>
      <c r="E21" s="29"/>
      <c r="F21" s="29"/>
      <c r="G21" s="29"/>
      <c r="H21" s="29"/>
      <c r="I21" s="29"/>
    </row>
    <row r="22" customFormat="false" ht="15" hidden="false" customHeight="false" outlineLevel="0" collapsed="false">
      <c r="B22" s="27" t="s">
        <v>98</v>
      </c>
      <c r="C22" s="32" t="n">
        <f aca="false">'Audit Trail'!$J$12</f>
        <v>0</v>
      </c>
    </row>
    <row r="23" customFormat="false" ht="18" hidden="false" customHeight="true" outlineLevel="0" collapsed="false">
      <c r="B23" s="33" t="str">
        <f aca="false">"Run completed. "&amp;TEXT('Audit Trail'!$F$12,"#,##0")&amp;" lines staged, 12 packs written, control totals agreed."</f>
        <v>Run completed. 530 lines staged, 12 packs written, control totals agreed.</v>
      </c>
      <c r="C23" s="33"/>
      <c r="D23" s="33"/>
      <c r="E23" s="33"/>
      <c r="F23" s="33"/>
      <c r="G23" s="33"/>
      <c r="H23" s="33"/>
      <c r="I23" s="33"/>
    </row>
  </sheetData>
  <mergeCells count="19">
    <mergeCell ref="A1:I1"/>
    <mergeCell ref="A2:I2"/>
    <mergeCell ref="A4:I4"/>
    <mergeCell ref="B5:C5"/>
    <mergeCell ref="F5:I5"/>
    <mergeCell ref="B6:C6"/>
    <mergeCell ref="F6:I6"/>
    <mergeCell ref="B7:C7"/>
    <mergeCell ref="F7:I7"/>
    <mergeCell ref="A8:I8"/>
    <mergeCell ref="E9:H9"/>
    <mergeCell ref="E11:H11"/>
    <mergeCell ref="E12:H12"/>
    <mergeCell ref="E13:H13"/>
    <mergeCell ref="E15:H15"/>
    <mergeCell ref="E16:H16"/>
    <mergeCell ref="A18:I18"/>
    <mergeCell ref="E19:I21"/>
    <mergeCell ref="B23:I23"/>
  </mergeCells>
  <printOptions headings="false" gridLines="false" gridLinesSet="true" horizontalCentered="false" verticalCentered="false"/>
  <pageMargins left="0.3" right="0.3" top="1" bottom="1" header="0.5" footer="0.5"/>
  <pageSetup paperSize="9" scale="100" fitToWidth="1" fitToHeight="0" pageOrder="downThenOver" orientation="landscape" blackAndWhite="false" draft="false" cellComments="none" horizontalDpi="300" verticalDpi="300" copies="1"/>
  <headerFooter differentFirst="false" differentOddEven="false">
    <oddHeader>&amp;L&amp;"Arial,Bold"&amp;9Halcyon Metalworks Kft.&amp;R&amp;"Arial,Regular"&amp;9Cost centre reporting tool v2.4</oddHeader>
    <oddFooter>&amp;L&amp;"Arial,Regular"&amp;8Illustrative sample, fictional data - prepared by Tarlan Charkasov, ACCA&amp;R&amp;"Arial,Regular"&amp;8Page &amp;P of &amp;N</oddFooter>
  </headerFooter>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Q70"/>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3"/>
    <col collapsed="false" customWidth="true" hidden="false" outlineLevel="0" max="2" min="2" style="0" width="34"/>
    <col collapsed="false" customWidth="true" hidden="false" outlineLevel="0" max="17" min="3" style="0" width="12.61"/>
  </cols>
  <sheetData>
    <row r="1" customFormat="false" ht="24" hidden="false" customHeight="true" outlineLevel="0" collapsed="false">
      <c r="A1" s="18" t="s">
        <v>99</v>
      </c>
      <c r="B1" s="18"/>
      <c r="C1" s="18"/>
      <c r="D1" s="18"/>
      <c r="E1" s="18"/>
      <c r="F1" s="18"/>
      <c r="G1" s="18"/>
      <c r="H1" s="18"/>
      <c r="I1" s="18"/>
      <c r="J1" s="18"/>
      <c r="K1" s="18"/>
      <c r="L1" s="18"/>
      <c r="M1" s="18"/>
      <c r="N1" s="18"/>
      <c r="O1" s="18"/>
      <c r="P1" s="18"/>
      <c r="Q1" s="18"/>
    </row>
    <row r="2" customFormat="false" ht="15" hidden="false" customHeight="true" outlineLevel="0" collapsed="false">
      <c r="A2" s="19" t="s">
        <v>100</v>
      </c>
      <c r="B2" s="19"/>
      <c r="C2" s="19"/>
      <c r="D2" s="19"/>
      <c r="E2" s="19"/>
      <c r="F2" s="19"/>
      <c r="G2" s="19"/>
      <c r="H2" s="19"/>
      <c r="I2" s="19"/>
      <c r="J2" s="19"/>
      <c r="K2" s="19"/>
      <c r="L2" s="19"/>
      <c r="M2" s="19"/>
      <c r="N2" s="19"/>
      <c r="O2" s="19"/>
      <c r="P2" s="19"/>
      <c r="Q2" s="19"/>
    </row>
    <row r="4" customFormat="false" ht="16.5" hidden="false" customHeight="true" outlineLevel="0" collapsed="false">
      <c r="A4" s="9" t="s">
        <v>101</v>
      </c>
      <c r="B4" s="9"/>
      <c r="C4" s="9"/>
      <c r="D4" s="9"/>
      <c r="E4" s="9"/>
      <c r="F4" s="9"/>
      <c r="G4" s="9"/>
      <c r="H4" s="9"/>
    </row>
    <row r="5" customFormat="false" ht="19.5" hidden="false" customHeight="true" outlineLevel="0" collapsed="false">
      <c r="B5" s="11" t="s">
        <v>102</v>
      </c>
      <c r="C5" s="11" t="s">
        <v>103</v>
      </c>
      <c r="D5" s="11" t="s">
        <v>104</v>
      </c>
      <c r="E5" s="11" t="s">
        <v>105</v>
      </c>
      <c r="F5" s="11" t="s">
        <v>106</v>
      </c>
      <c r="G5" s="11" t="s">
        <v>107</v>
      </c>
      <c r="H5" s="11" t="s">
        <v>108</v>
      </c>
    </row>
    <row r="6" customFormat="false" ht="15" hidden="false" customHeight="false" outlineLevel="0" collapsed="false">
      <c r="B6" s="34" t="s">
        <v>109</v>
      </c>
      <c r="C6" s="35" t="n">
        <f aca="false">SUMIFS(Staging!$H$4:$H$533,Staging!$D$4:$D$533,$B6)</f>
        <v>71562.61</v>
      </c>
      <c r="D6" s="35" t="n">
        <f aca="false">SUMIFS(Budget!$D$4:$D$107,Budget!$C$4:$C$107,$B6)</f>
        <v>69900</v>
      </c>
      <c r="E6" s="35" t="n">
        <f aca="false">C6-D6</f>
        <v>1662.61</v>
      </c>
      <c r="F6" s="36" t="n">
        <f aca="false">IF(D6=0,"",E6/D6)</f>
        <v>0.0237855507868384</v>
      </c>
      <c r="G6" s="36" t="n">
        <f aca="false">IFERROR(C6/$C$21,0)</f>
        <v>0.0658952750114875</v>
      </c>
      <c r="H6" s="37" t="str">
        <f aca="false">IF(D6=0,"no budget",IF(E6&gt;$C$6*0.05,"over",IF(E6&lt;-$C$6*0.05,"under","")))</f>
        <v/>
      </c>
    </row>
    <row r="7" customFormat="false" ht="15" hidden="false" customHeight="false" outlineLevel="0" collapsed="false">
      <c r="B7" s="34" t="s">
        <v>110</v>
      </c>
      <c r="C7" s="35" t="n">
        <f aca="false">SUMIFS(Staging!$H$4:$H$533,Staging!$D$4:$D$533,$B7)</f>
        <v>132203.77</v>
      </c>
      <c r="D7" s="35" t="n">
        <f aca="false">SUMIFS(Budget!$D$4:$D$107,Budget!$C$4:$C$107,$B7)</f>
        <v>125100</v>
      </c>
      <c r="E7" s="35" t="n">
        <f aca="false">C7-D7</f>
        <v>7103.76999999999</v>
      </c>
      <c r="F7" s="36" t="n">
        <f aca="false">IF(D7=0,"",E7/D7)</f>
        <v>0.0567847322142285</v>
      </c>
      <c r="G7" s="36" t="n">
        <f aca="false">IFERROR(C7/$C$22,0)</f>
        <v>0.121734014196875</v>
      </c>
      <c r="H7" s="37" t="str">
        <f aca="false">IF(D7=0,"no budget",IF(E7&gt;$C$7*0.05,"over",IF(E7&lt;-$C$7*0.05,"under","")))</f>
        <v>over</v>
      </c>
    </row>
    <row r="8" customFormat="false" ht="15" hidden="false" customHeight="false" outlineLevel="0" collapsed="false">
      <c r="B8" s="34" t="s">
        <v>111</v>
      </c>
      <c r="C8" s="35" t="n">
        <f aca="false">SUMIFS(Staging!$H$4:$H$533,Staging!$D$4:$D$533,$B8)</f>
        <v>316373.9</v>
      </c>
      <c r="D8" s="35" t="n">
        <f aca="false">SUMIFS(Budget!$D$4:$D$107,Budget!$C$4:$C$107,$B8)</f>
        <v>303300</v>
      </c>
      <c r="E8" s="35" t="n">
        <f aca="false">C8-D8</f>
        <v>13073.9</v>
      </c>
      <c r="F8" s="36" t="n">
        <f aca="false">IF(D8=0,"",E8/D8)</f>
        <v>0.0431055060995715</v>
      </c>
      <c r="G8" s="36" t="n">
        <f aca="false">IFERROR(C8/$C$23,0)</f>
        <v>0</v>
      </c>
      <c r="H8" s="37" t="str">
        <f aca="false">IF(D8=0,"no budget",IF(E8&gt;$C$8*0.05,"over",IF(E8&lt;-$C$8*0.05,"under","")))</f>
        <v/>
      </c>
    </row>
    <row r="9" customFormat="false" ht="15" hidden="false" customHeight="false" outlineLevel="0" collapsed="false">
      <c r="B9" s="34" t="s">
        <v>112</v>
      </c>
      <c r="C9" s="35" t="n">
        <f aca="false">SUMIFS(Staging!$H$4:$H$533,Staging!$D$4:$D$533,$B9)</f>
        <v>124006.55</v>
      </c>
      <c r="D9" s="35" t="n">
        <f aca="false">SUMIFS(Budget!$D$4:$D$107,Budget!$C$4:$C$107,$B9)</f>
        <v>121320</v>
      </c>
      <c r="E9" s="35" t="n">
        <f aca="false">C9-D9</f>
        <v>2686.55</v>
      </c>
      <c r="F9" s="36" t="n">
        <f aca="false">IF(D9=0,"",E9/D9)</f>
        <v>0.0221443290471481</v>
      </c>
      <c r="G9" s="36" t="n">
        <f aca="false">IFERROR(C9/$C$24,0)</f>
        <v>0</v>
      </c>
      <c r="H9" s="37" t="str">
        <f aca="false">IF(D9=0,"no budget",IF(E9&gt;$C$9*0.05,"over",IF(E9&lt;-$C$9*0.05,"under","")))</f>
        <v/>
      </c>
    </row>
    <row r="10" customFormat="false" ht="15" hidden="false" customHeight="false" outlineLevel="0" collapsed="false">
      <c r="B10" s="34" t="s">
        <v>113</v>
      </c>
      <c r="C10" s="35" t="n">
        <f aca="false">SUMIFS(Staging!$H$4:$H$533,Staging!$D$4:$D$533,$B10)</f>
        <v>72745.08</v>
      </c>
      <c r="D10" s="35" t="n">
        <f aca="false">SUMIFS(Budget!$D$4:$D$107,Budget!$C$4:$C$107,$B10)</f>
        <v>47000</v>
      </c>
      <c r="E10" s="35" t="n">
        <f aca="false">C10-D10</f>
        <v>25745.08</v>
      </c>
      <c r="F10" s="36" t="n">
        <f aca="false">IF(D10=0,"",E10/D10)</f>
        <v>0.547767659574468</v>
      </c>
      <c r="G10" s="36" t="n">
        <f aca="false">IFERROR(C10/$C$25,0)</f>
        <v>0</v>
      </c>
      <c r="H10" s="37" t="str">
        <f aca="false">IF(D10=0,"no budget",IF(E10&gt;$C$10*0.05,"over",IF(E10&lt;-$C$10*0.05,"under","")))</f>
        <v>over</v>
      </c>
    </row>
    <row r="11" customFormat="false" ht="15" hidden="false" customHeight="false" outlineLevel="0" collapsed="false">
      <c r="B11" s="34" t="s">
        <v>114</v>
      </c>
      <c r="C11" s="35" t="n">
        <f aca="false">SUMIFS(Staging!$H$4:$H$533,Staging!$D$4:$D$533,$B11)</f>
        <v>16218.32</v>
      </c>
      <c r="D11" s="35" t="n">
        <f aca="false">SUMIFS(Budget!$D$4:$D$107,Budget!$C$4:$C$107,$B11)</f>
        <v>11700</v>
      </c>
      <c r="E11" s="35" t="n">
        <f aca="false">C11-D11</f>
        <v>4518.32</v>
      </c>
      <c r="F11" s="36" t="n">
        <f aca="false">IF(D11=0,"",E11/D11)</f>
        <v>0.386181196581197</v>
      </c>
      <c r="G11" s="36" t="n">
        <f aca="false">IFERROR(C11/$C$26,0)</f>
        <v>0.0760299694118782</v>
      </c>
      <c r="H11" s="37" t="str">
        <f aca="false">IF(D11=0,"no budget",IF(E11&gt;$C$11*0.05,"over",IF(E11&lt;-$C$11*0.05,"under","")))</f>
        <v>over</v>
      </c>
    </row>
    <row r="12" customFormat="false" ht="15" hidden="false" customHeight="false" outlineLevel="0" collapsed="false">
      <c r="B12" s="34" t="s">
        <v>115</v>
      </c>
      <c r="C12" s="35" t="n">
        <f aca="false">SUMIFS(Staging!$H$4:$H$533,Staging!$D$4:$D$533,$B12)</f>
        <v>97900.06</v>
      </c>
      <c r="D12" s="35" t="n">
        <f aca="false">SUMIFS(Budget!$D$4:$D$107,Budget!$C$4:$C$107,$B12)</f>
        <v>76500</v>
      </c>
      <c r="E12" s="35" t="n">
        <f aca="false">C12-D12</f>
        <v>21400.06</v>
      </c>
      <c r="F12" s="36" t="n">
        <f aca="false">IF(D12=0,"",E12/D12)</f>
        <v>0.279739346405229</v>
      </c>
      <c r="G12" s="36" t="n">
        <f aca="false">IFERROR(C12/$C$27,0)</f>
        <v>0.464410984209609</v>
      </c>
      <c r="H12" s="37" t="str">
        <f aca="false">IF(D12=0,"no budget",IF(E12&gt;$C$12*0.05,"over",IF(E12&lt;-$C$12*0.05,"under","")))</f>
        <v>over</v>
      </c>
    </row>
    <row r="13" customFormat="false" ht="15" hidden="false" customHeight="false" outlineLevel="0" collapsed="false">
      <c r="B13" s="34" t="s">
        <v>116</v>
      </c>
      <c r="C13" s="35" t="n">
        <f aca="false">SUMIFS(Staging!$H$4:$H$533,Staging!$D$4:$D$533,$B13)</f>
        <v>27472.46</v>
      </c>
      <c r="D13" s="35" t="n">
        <f aca="false">SUMIFS(Budget!$D$4:$D$107,Budget!$C$4:$C$107,$B13)</f>
        <v>26800</v>
      </c>
      <c r="E13" s="35" t="n">
        <f aca="false">C13-D13</f>
        <v>672.459999999999</v>
      </c>
      <c r="F13" s="36" t="n">
        <f aca="false">IF(D13=0,"",E13/D13)</f>
        <v>0.0250917910447761</v>
      </c>
      <c r="G13" s="36" t="n">
        <f aca="false">IFERROR(C13/$C$28,0)</f>
        <v>0.232838985367206</v>
      </c>
      <c r="H13" s="37" t="str">
        <f aca="false">IF(D13=0,"no budget",IF(E13&gt;$C$13*0.05,"over",IF(E13&lt;-$C$13*0.05,"under","")))</f>
        <v/>
      </c>
    </row>
    <row r="14" customFormat="false" ht="15" hidden="false" customHeight="false" outlineLevel="0" collapsed="false">
      <c r="B14" s="34" t="s">
        <v>117</v>
      </c>
      <c r="C14" s="35" t="n">
        <f aca="false">SUMIFS(Staging!$H$4:$H$533,Staging!$D$4:$D$533,$B14)</f>
        <v>37200</v>
      </c>
      <c r="D14" s="35" t="n">
        <f aca="false">SUMIFS(Budget!$D$4:$D$107,Budget!$C$4:$C$107,$B14)</f>
        <v>41000</v>
      </c>
      <c r="E14" s="35" t="n">
        <f aca="false">C14-D14</f>
        <v>-3800</v>
      </c>
      <c r="F14" s="36" t="n">
        <f aca="false">IF(D14=0,"",E14/D14)</f>
        <v>-0.0926829268292683</v>
      </c>
      <c r="G14" s="36" t="n">
        <f aca="false">IFERROR(C14/$C$29,0)</f>
        <v>0.61485326824263</v>
      </c>
      <c r="H14" s="37" t="str">
        <f aca="false">IF(D14=0,"no budget",IF(E14&gt;$C$14*0.05,"over",IF(E14&lt;-$C$14*0.05,"under","")))</f>
        <v>under</v>
      </c>
    </row>
    <row r="15" customFormat="false" ht="15" hidden="false" customHeight="false" outlineLevel="0" collapsed="false">
      <c r="B15" s="34" t="s">
        <v>118</v>
      </c>
      <c r="C15" s="35" t="n">
        <f aca="false">SUMIFS(Staging!$H$4:$H$533,Staging!$D$4:$D$533,$B15)</f>
        <v>25061.37</v>
      </c>
      <c r="D15" s="35" t="n">
        <f aca="false">SUMIFS(Budget!$D$4:$D$107,Budget!$C$4:$C$107,$B15)</f>
        <v>22000</v>
      </c>
      <c r="E15" s="35" t="n">
        <f aca="false">C15-D15</f>
        <v>3061.37</v>
      </c>
      <c r="F15" s="36" t="n">
        <f aca="false">IF(D15=0,"",E15/D15)</f>
        <v>0.139153181818182</v>
      </c>
      <c r="G15" s="36" t="n">
        <f aca="false">IFERROR(C15/$C$30,0)</f>
        <v>0.545041190116982</v>
      </c>
      <c r="H15" s="37" t="str">
        <f aca="false">IF(D15=0,"no budget",IF(E15&gt;$C$15*0.05,"over",IF(E15&lt;-$C$15*0.05,"under","")))</f>
        <v>over</v>
      </c>
    </row>
    <row r="16" customFormat="false" ht="15" hidden="false" customHeight="false" outlineLevel="0" collapsed="false">
      <c r="B16" s="34" t="s">
        <v>119</v>
      </c>
      <c r="C16" s="35" t="n">
        <f aca="false">SUMIFS(Staging!$H$4:$H$533,Staging!$D$4:$D$533,$B16)</f>
        <v>27718.72</v>
      </c>
      <c r="D16" s="35" t="n">
        <f aca="false">SUMIFS(Budget!$D$4:$D$107,Budget!$C$4:$C$107,$B16)</f>
        <v>14400</v>
      </c>
      <c r="E16" s="35" t="n">
        <f aca="false">C16-D16</f>
        <v>13318.72</v>
      </c>
      <c r="F16" s="36" t="n">
        <f aca="false">IF(D16=0,"",E16/D16)</f>
        <v>0.924911111111111</v>
      </c>
      <c r="G16" s="36" t="n">
        <f aca="false">IFERROR(C16/$C$31,0)</f>
        <v>0.305353461300555</v>
      </c>
      <c r="H16" s="37" t="str">
        <f aca="false">IF(D16=0,"no budget",IF(E16&gt;$C$16*0.05,"over",IF(E16&lt;-$C$16*0.05,"under","")))</f>
        <v>over</v>
      </c>
    </row>
    <row r="17" customFormat="false" ht="15" hidden="false" customHeight="false" outlineLevel="0" collapsed="false">
      <c r="B17" s="34" t="s">
        <v>120</v>
      </c>
      <c r="C17" s="35" t="n">
        <f aca="false">SUMIFS(Staging!$H$4:$H$533,Staging!$D$4:$D$533,$B17)</f>
        <v>11598.95</v>
      </c>
      <c r="D17" s="35" t="n">
        <f aca="false">SUMIFS(Budget!$D$4:$D$107,Budget!$C$4:$C$107,$B17)</f>
        <v>18150</v>
      </c>
      <c r="E17" s="35" t="n">
        <f aca="false">C17-D17</f>
        <v>-6551.05</v>
      </c>
      <c r="F17" s="36" t="n">
        <f aca="false">IF(D17=0,"",E17/D17)</f>
        <v>-0.360939393939394</v>
      </c>
      <c r="G17" s="36" t="n">
        <f aca="false">IFERROR(C17/$C$32,0)</f>
        <v>0.115206132858403</v>
      </c>
      <c r="H17" s="37" t="str">
        <f aca="false">IF(D17=0,"no budget",IF(E17&gt;$C$17*0.05,"over",IF(E17&lt;-$C$17*0.05,"under","")))</f>
        <v>under</v>
      </c>
    </row>
    <row r="18" customFormat="false" ht="15" hidden="false" customHeight="false" outlineLevel="0" collapsed="false">
      <c r="B18" s="34" t="s">
        <v>121</v>
      </c>
      <c r="C18" s="35" t="n">
        <f aca="false">SUMIFS(Staging!$H$4:$H$533,Staging!$D$4:$D$533,$B18)</f>
        <v>12779.7</v>
      </c>
      <c r="D18" s="35" t="n">
        <f aca="false">SUMIFS(Budget!$D$4:$D$107,Budget!$C$4:$C$107,$B18)</f>
        <v>12400</v>
      </c>
      <c r="E18" s="35" t="n">
        <f aca="false">C18-D18</f>
        <v>379.700000000001</v>
      </c>
      <c r="F18" s="36" t="n">
        <f aca="false">IF(D18=0,"",E18/D18)</f>
        <v>0.0306209677419355</v>
      </c>
      <c r="G18" s="36" t="n">
        <f aca="false">IFERROR(C18/$C$33,0)</f>
        <v>0.567788823805394</v>
      </c>
      <c r="H18" s="37" t="str">
        <f aca="false">IF(D18=0,"no budget",IF(E18&gt;$C$18*0.05,"over",IF(E18&lt;-$C$18*0.05,"under","")))</f>
        <v/>
      </c>
    </row>
    <row r="19" customFormat="false" ht="15" hidden="false" customHeight="false" outlineLevel="0" collapsed="false">
      <c r="B19" s="34" t="s">
        <v>122</v>
      </c>
      <c r="C19" s="35" t="n">
        <f aca="false">SUMIFS(Staging!$H$4:$H$533,Staging!$D$4:$D$533,$B19)</f>
        <v>108308.19</v>
      </c>
      <c r="D19" s="35" t="n">
        <f aca="false">SUMIFS(Budget!$D$4:$D$107,Budget!$C$4:$C$107,$B19)</f>
        <v>108400</v>
      </c>
      <c r="E19" s="35" t="n">
        <f aca="false">C19-D19</f>
        <v>-91.8099999999977</v>
      </c>
      <c r="F19" s="36" t="n">
        <f aca="false">IF(D19=0,"",E19/D19)</f>
        <v>-0.000846955719557174</v>
      </c>
      <c r="G19" s="36" t="n">
        <f aca="false">IFERROR(C19/$C$34,0)</f>
        <v>1.86231196026268</v>
      </c>
      <c r="H19" s="37" t="str">
        <f aca="false">IF(D19=0,"no budget",IF(E19&gt;$C$19*0.05,"over",IF(E19&lt;-$C$19*0.05,"under","")))</f>
        <v/>
      </c>
    </row>
    <row r="20" customFormat="false" ht="15" hidden="false" customHeight="false" outlineLevel="0" collapsed="false">
      <c r="B20" s="38" t="s">
        <v>123</v>
      </c>
      <c r="C20" s="35" t="n">
        <f aca="false">SUMIFS(Staging!$H$4:$H$533,Staging!$D$4:$D$533,$B20)</f>
        <v>4855.5</v>
      </c>
      <c r="D20" s="35" t="n">
        <f aca="false">SUMIFS(Budget!$D$4:$D$107,Budget!$C$4:$C$107,$B20)</f>
        <v>0</v>
      </c>
      <c r="E20" s="35" t="n">
        <f aca="false">C20-D20</f>
        <v>4855.5</v>
      </c>
      <c r="F20" s="36" t="str">
        <f aca="false">IF(D20=0,"",E20/D20)</f>
        <v/>
      </c>
      <c r="G20" s="36" t="n">
        <f aca="false">IFERROR(C20/$C$35,0)</f>
        <v>0.10696335753254</v>
      </c>
      <c r="H20" s="37" t="str">
        <f aca="false">IF(D20=0,"no budget",IF(E20&gt;$C$20*0.05,"over",IF(E20&lt;-$C$20*0.05,"under","")))</f>
        <v>no budget</v>
      </c>
    </row>
    <row r="21" customFormat="false" ht="15" hidden="false" customHeight="false" outlineLevel="0" collapsed="false">
      <c r="B21" s="39" t="s">
        <v>124</v>
      </c>
      <c r="C21" s="40" t="n">
        <f aca="false">SUM(C6:C20)</f>
        <v>1086005.18</v>
      </c>
      <c r="D21" s="40" t="n">
        <f aca="false">SUM(D6:D20)</f>
        <v>997970</v>
      </c>
      <c r="E21" s="40" t="n">
        <f aca="false">C21-D21</f>
        <v>88035.1799999999</v>
      </c>
      <c r="F21" s="41" t="n">
        <f aca="false">E21/D21</f>
        <v>0.0882142549375231</v>
      </c>
      <c r="G21" s="41" t="n">
        <f aca="false">SUM(G6:G20)</f>
        <v>5.07842742231624</v>
      </c>
      <c r="H21" s="42"/>
    </row>
    <row r="22" customFormat="false" ht="15" hidden="false" customHeight="false" outlineLevel="0" collapsed="false">
      <c r="B22" s="43" t="s">
        <v>125</v>
      </c>
      <c r="C22" s="44" t="n">
        <f aca="false">Staging!$H$534</f>
        <v>1086005.18</v>
      </c>
      <c r="D22" s="45" t="str">
        <f aca="false">IF(ROUND(C21-C22,2)=0,"agreed","DIFFERENCE")</f>
        <v>agreed</v>
      </c>
    </row>
    <row r="24" customFormat="false" ht="16.5" hidden="false" customHeight="true" outlineLevel="0" collapsed="false">
      <c r="A24" s="9" t="s">
        <v>126</v>
      </c>
      <c r="B24" s="9"/>
      <c r="C24" s="9"/>
      <c r="D24" s="9"/>
      <c r="E24" s="9"/>
      <c r="F24" s="9"/>
      <c r="G24" s="9"/>
      <c r="H24" s="9"/>
      <c r="I24" s="9"/>
      <c r="J24" s="9"/>
      <c r="K24" s="9"/>
    </row>
    <row r="25" customFormat="false" ht="19.5" hidden="false" customHeight="true" outlineLevel="0" collapsed="false">
      <c r="B25" s="11" t="s">
        <v>127</v>
      </c>
      <c r="C25" s="11" t="s">
        <v>103</v>
      </c>
      <c r="D25" s="11" t="s">
        <v>104</v>
      </c>
      <c r="E25" s="11" t="s">
        <v>105</v>
      </c>
      <c r="F25" s="11" t="s">
        <v>106</v>
      </c>
      <c r="G25" s="11" t="s">
        <v>128</v>
      </c>
      <c r="H25" s="11"/>
      <c r="I25" s="11"/>
      <c r="J25" s="11" t="s">
        <v>129</v>
      </c>
    </row>
    <row r="26" customFormat="false" ht="15" hidden="false" customHeight="false" outlineLevel="0" collapsed="false">
      <c r="B26" s="34" t="s">
        <v>130</v>
      </c>
      <c r="C26" s="35" t="n">
        <f aca="false">SUMIFS(Staging!$H$4:$H$533,Staging!$B$4:$B$533,LEFT($B26,4))</f>
        <v>213314.83</v>
      </c>
      <c r="D26" s="35" t="n">
        <f aca="false">SUMIFS(Budget!$D$4:$D$107,Budget!$B$4:$B$107,LEFT($B26,4))</f>
        <v>204200</v>
      </c>
      <c r="E26" s="35" t="n">
        <f aca="false">C26-D26</f>
        <v>9114.82999999999</v>
      </c>
      <c r="F26" s="36" t="n">
        <f aca="false">IF(D26=0,"",E26/D26)</f>
        <v>0.0446367776689519</v>
      </c>
      <c r="G26" s="46" t="str">
        <f aca="false">IFERROR(INDEX(Mapping!$H$7:$H$18,MATCH(LEFT($B26,4),Mapping!$F$7:$F$18,0)),"-")</f>
        <v>G. Nagy</v>
      </c>
      <c r="H26" s="46"/>
      <c r="I26" s="46"/>
      <c r="J26" s="47" t="str">
        <f aca="false">IF(D26=0,"NO BUDGET",IF(E26&gt;D26*0.05,"over 5%",""))</f>
        <v/>
      </c>
    </row>
    <row r="27" customFormat="false" ht="15" hidden="false" customHeight="false" outlineLevel="0" collapsed="false">
      <c r="B27" s="34" t="s">
        <v>131</v>
      </c>
      <c r="C27" s="35" t="n">
        <f aca="false">SUMIFS(Staging!$H$4:$H$533,Staging!$B$4:$B$533,LEFT($B27,4))</f>
        <v>210804.79</v>
      </c>
      <c r="D27" s="35" t="n">
        <f aca="false">SUMIFS(Budget!$D$4:$D$107,Budget!$B$4:$B$107,LEFT($B27,4))</f>
        <v>185550</v>
      </c>
      <c r="E27" s="35" t="n">
        <f aca="false">C27-D27</f>
        <v>25254.79</v>
      </c>
      <c r="F27" s="36" t="n">
        <f aca="false">IF(D27=0,"",E27/D27)</f>
        <v>0.136107733764484</v>
      </c>
      <c r="G27" s="46" t="str">
        <f aca="false">IFERROR(INDEX(Mapping!$H$7:$H$18,MATCH(LEFT($B27,4),Mapping!$F$7:$F$18,0)),"-")</f>
        <v>G. Nagy</v>
      </c>
      <c r="H27" s="46"/>
      <c r="I27" s="46"/>
      <c r="J27" s="47" t="str">
        <f aca="false">IF(D27=0,"NO BUDGET",IF(E27&gt;D27*0.05,"over 5%",""))</f>
        <v>over 5%</v>
      </c>
    </row>
    <row r="28" customFormat="false" ht="15" hidden="false" customHeight="false" outlineLevel="0" collapsed="false">
      <c r="B28" s="34" t="s">
        <v>132</v>
      </c>
      <c r="C28" s="35" t="n">
        <f aca="false">SUMIFS(Staging!$H$4:$H$533,Staging!$B$4:$B$533,LEFT($B28,4))</f>
        <v>117989.09</v>
      </c>
      <c r="D28" s="35" t="n">
        <f aca="false">SUMIFS(Budget!$D$4:$D$107,Budget!$B$4:$B$107,LEFT($B28,4))</f>
        <v>119300</v>
      </c>
      <c r="E28" s="35" t="n">
        <f aca="false">C28-D28</f>
        <v>-1310.91</v>
      </c>
      <c r="F28" s="36" t="n">
        <f aca="false">IF(D28=0,"",E28/D28)</f>
        <v>-0.0109883487007544</v>
      </c>
      <c r="G28" s="46" t="str">
        <f aca="false">IFERROR(INDEX(Mapping!$H$7:$H$18,MATCH(LEFT($B28,4),Mapping!$F$7:$F$18,0)),"-")</f>
        <v>P. Kovacs</v>
      </c>
      <c r="H28" s="46"/>
      <c r="I28" s="46"/>
      <c r="J28" s="47" t="str">
        <f aca="false">IF(D28=0,"NO BUDGET",IF(E28&gt;D28*0.05,"over 5%",""))</f>
        <v/>
      </c>
    </row>
    <row r="29" customFormat="false" ht="15" hidden="false" customHeight="false" outlineLevel="0" collapsed="false">
      <c r="B29" s="34" t="s">
        <v>133</v>
      </c>
      <c r="C29" s="35" t="n">
        <f aca="false">SUMIFS(Staging!$H$4:$H$533,Staging!$B$4:$B$533,LEFT($B29,4))</f>
        <v>60502.24</v>
      </c>
      <c r="D29" s="35" t="n">
        <f aca="false">SUMIFS(Budget!$D$4:$D$107,Budget!$B$4:$B$107,LEFT($B29,4))</f>
        <v>60600</v>
      </c>
      <c r="E29" s="35" t="n">
        <f aca="false">C29-D29</f>
        <v>-97.760000000002</v>
      </c>
      <c r="F29" s="36" t="n">
        <f aca="false">IF(D29=0,"",E29/D29)</f>
        <v>-0.00161320132013205</v>
      </c>
      <c r="G29" s="46" t="str">
        <f aca="false">IFERROR(INDEX(Mapping!$H$7:$H$18,MATCH(LEFT($B29,4),Mapping!$F$7:$F$18,0)),"-")</f>
        <v>P. Kovacs</v>
      </c>
      <c r="H29" s="46"/>
      <c r="I29" s="46"/>
      <c r="J29" s="47" t="str">
        <f aca="false">IF(D29=0,"NO BUDGET",IF(E29&gt;D29*0.05,"over 5%",""))</f>
        <v/>
      </c>
    </row>
    <row r="30" customFormat="false" ht="15" hidden="false" customHeight="false" outlineLevel="0" collapsed="false">
      <c r="B30" s="34" t="s">
        <v>134</v>
      </c>
      <c r="C30" s="35" t="n">
        <f aca="false">SUMIFS(Staging!$H$4:$H$533,Staging!$B$4:$B$533,LEFT($B30,4))</f>
        <v>45980.69</v>
      </c>
      <c r="D30" s="35" t="n">
        <f aca="false">SUMIFS(Budget!$D$4:$D$107,Budget!$B$4:$B$107,LEFT($B30,4))</f>
        <v>44800</v>
      </c>
      <c r="E30" s="35" t="n">
        <f aca="false">C30-D30</f>
        <v>1180.69</v>
      </c>
      <c r="F30" s="36" t="n">
        <f aca="false">IF(D30=0,"",E30/D30)</f>
        <v>0.0263546875000001</v>
      </c>
      <c r="G30" s="46" t="str">
        <f aca="false">IFERROR(INDEX(Mapping!$H$7:$H$18,MATCH(LEFT($B30,4),Mapping!$F$7:$F$18,0)),"-")</f>
        <v>E. Szabo</v>
      </c>
      <c r="H30" s="46"/>
      <c r="I30" s="46"/>
      <c r="J30" s="47" t="str">
        <f aca="false">IF(D30=0,"NO BUDGET",IF(E30&gt;D30*0.05,"over 5%",""))</f>
        <v/>
      </c>
    </row>
    <row r="31" customFormat="false" ht="15" hidden="false" customHeight="false" outlineLevel="0" collapsed="false">
      <c r="B31" s="34" t="s">
        <v>135</v>
      </c>
      <c r="C31" s="35" t="n">
        <f aca="false">SUMIFS(Staging!$H$4:$H$533,Staging!$B$4:$B$533,LEFT($B31,4))</f>
        <v>90775.85</v>
      </c>
      <c r="D31" s="35" t="n">
        <f aca="false">SUMIFS(Budget!$D$4:$D$107,Budget!$B$4:$B$107,LEFT($B31,4))</f>
        <v>68920</v>
      </c>
      <c r="E31" s="35" t="n">
        <f aca="false">C31-D31</f>
        <v>21855.85</v>
      </c>
      <c r="F31" s="36" t="n">
        <f aca="false">IF(D31=0,"",E31/D31)</f>
        <v>0.31711912362159</v>
      </c>
      <c r="G31" s="46" t="str">
        <f aca="false">IFERROR(INDEX(Mapping!$H$7:$H$18,MATCH(LEFT($B31,4),Mapping!$F$7:$F$18,0)),"-")</f>
        <v>L. Toth</v>
      </c>
      <c r="H31" s="46"/>
      <c r="I31" s="46"/>
      <c r="J31" s="47" t="str">
        <f aca="false">IF(D31=0,"NO BUDGET",IF(E31&gt;D31*0.05,"over 5%",""))</f>
        <v>over 5%</v>
      </c>
    </row>
    <row r="32" customFormat="false" ht="15" hidden="false" customHeight="false" outlineLevel="0" collapsed="false">
      <c r="B32" s="34" t="s">
        <v>136</v>
      </c>
      <c r="C32" s="35" t="n">
        <f aca="false">SUMIFS(Staging!$H$4:$H$533,Staging!$B$4:$B$533,LEFT($B32,4))</f>
        <v>100679.97</v>
      </c>
      <c r="D32" s="35" t="n">
        <f aca="false">SUMIFS(Budget!$D$4:$D$107,Budget!$B$4:$B$107,LEFT($B32,4))</f>
        <v>99160</v>
      </c>
      <c r="E32" s="35" t="n">
        <f aca="false">C32-D32</f>
        <v>1519.97</v>
      </c>
      <c r="F32" s="36" t="n">
        <f aca="false">IF(D32=0,"",E32/D32)</f>
        <v>0.015328459056071</v>
      </c>
      <c r="G32" s="46" t="str">
        <f aca="false">IFERROR(INDEX(Mapping!$H$7:$H$18,MATCH(LEFT($B32,4),Mapping!$F$7:$F$18,0)),"-")</f>
        <v>M. Varga</v>
      </c>
      <c r="H32" s="46"/>
      <c r="I32" s="46"/>
      <c r="J32" s="47" t="str">
        <f aca="false">IF(D32=0,"NO BUDGET",IF(E32&gt;D32*0.05,"over 5%",""))</f>
        <v/>
      </c>
    </row>
    <row r="33" customFormat="false" ht="15" hidden="false" customHeight="false" outlineLevel="0" collapsed="false">
      <c r="B33" s="34" t="s">
        <v>137</v>
      </c>
      <c r="C33" s="35" t="n">
        <f aca="false">SUMIFS(Staging!$H$4:$H$533,Staging!$B$4:$B$533,LEFT($B33,4))</f>
        <v>22507.84</v>
      </c>
      <c r="D33" s="35" t="n">
        <f aca="false">SUMIFS(Budget!$D$4:$D$107,Budget!$B$4:$B$107,LEFT($B33,4))</f>
        <v>22040</v>
      </c>
      <c r="E33" s="35" t="n">
        <f aca="false">C33-D33</f>
        <v>467.84</v>
      </c>
      <c r="F33" s="36" t="n">
        <f aca="false">IF(D33=0,"",E33/D33)</f>
        <v>0.0212268602540835</v>
      </c>
      <c r="G33" s="46" t="str">
        <f aca="false">IFERROR(INDEX(Mapping!$H$7:$H$18,MATCH(LEFT($B33,4),Mapping!$F$7:$F$18,0)),"-")</f>
        <v>M. Varga</v>
      </c>
      <c r="H33" s="46"/>
      <c r="I33" s="46"/>
      <c r="J33" s="47" t="str">
        <f aca="false">IF(D33=0,"NO BUDGET",IF(E33&gt;D33*0.05,"over 5%",""))</f>
        <v/>
      </c>
    </row>
    <row r="34" customFormat="false" ht="15" hidden="false" customHeight="false" outlineLevel="0" collapsed="false">
      <c r="B34" s="34" t="s">
        <v>138</v>
      </c>
      <c r="C34" s="35" t="n">
        <f aca="false">SUMIFS(Staging!$H$4:$H$533,Staging!$B$4:$B$533,LEFT($B34,4))</f>
        <v>58157.92</v>
      </c>
      <c r="D34" s="35" t="n">
        <f aca="false">SUMIFS(Budget!$D$4:$D$107,Budget!$B$4:$B$107,LEFT($B34,4))</f>
        <v>57700</v>
      </c>
      <c r="E34" s="35" t="n">
        <f aca="false">C34-D34</f>
        <v>457.919999999998</v>
      </c>
      <c r="F34" s="36" t="n">
        <f aca="false">IF(D34=0,"",E34/D34)</f>
        <v>0.00793622183708836</v>
      </c>
      <c r="G34" s="46" t="str">
        <f aca="false">IFERROR(INDEX(Mapping!$H$7:$H$18,MATCH(LEFT($B34,4),Mapping!$F$7:$F$18,0)),"-")</f>
        <v>A. Balogh</v>
      </c>
      <c r="H34" s="46"/>
      <c r="I34" s="46"/>
      <c r="J34" s="47" t="str">
        <f aca="false">IF(D34=0,"NO BUDGET",IF(E34&gt;D34*0.05,"over 5%",""))</f>
        <v/>
      </c>
    </row>
    <row r="35" customFormat="false" ht="15" hidden="false" customHeight="false" outlineLevel="0" collapsed="false">
      <c r="B35" s="34" t="s">
        <v>139</v>
      </c>
      <c r="C35" s="35" t="n">
        <f aca="false">SUMIFS(Staging!$H$4:$H$533,Staging!$B$4:$B$533,LEFT($B35,4))</f>
        <v>45394.05</v>
      </c>
      <c r="D35" s="35" t="n">
        <f aca="false">SUMIFS(Budget!$D$4:$D$107,Budget!$B$4:$B$107,LEFT($B35,4))</f>
        <v>51900</v>
      </c>
      <c r="E35" s="35" t="n">
        <f aca="false">C35-D35</f>
        <v>-6505.95</v>
      </c>
      <c r="F35" s="36" t="n">
        <f aca="false">IF(D35=0,"",E35/D35)</f>
        <v>-0.12535549132948</v>
      </c>
      <c r="G35" s="46" t="str">
        <f aca="false">IFERROR(INDEX(Mapping!$H$7:$H$18,MATCH(LEFT($B35,4),Mapping!$F$7:$F$18,0)),"-")</f>
        <v>R. Farkas</v>
      </c>
      <c r="H35" s="46"/>
      <c r="I35" s="46"/>
      <c r="J35" s="47" t="str">
        <f aca="false">IF(D35=0,"NO BUDGET",IF(E35&gt;D35*0.05,"over 5%",""))</f>
        <v/>
      </c>
    </row>
    <row r="36" customFormat="false" ht="15" hidden="false" customHeight="false" outlineLevel="0" collapsed="false">
      <c r="B36" s="34" t="s">
        <v>140</v>
      </c>
      <c r="C36" s="35" t="n">
        <f aca="false">SUMIFS(Staging!$H$4:$H$533,Staging!$B$4:$B$533,LEFT($B36,4))</f>
        <v>96488.03</v>
      </c>
      <c r="D36" s="35" t="n">
        <f aca="false">SUMIFS(Budget!$D$4:$D$107,Budget!$B$4:$B$107,LEFT($B36,4))</f>
        <v>83800</v>
      </c>
      <c r="E36" s="35" t="n">
        <f aca="false">C36-D36</f>
        <v>12688.03</v>
      </c>
      <c r="F36" s="36" t="n">
        <f aca="false">IF(D36=0,"",E36/D36)</f>
        <v>0.151408472553699</v>
      </c>
      <c r="G36" s="46" t="str">
        <f aca="false">IFERROR(INDEX(Mapping!$H$7:$H$18,MATCH(LEFT($B36,4),Mapping!$F$7:$F$18,0)),"-")</f>
        <v>T. Charkasov</v>
      </c>
      <c r="H36" s="46"/>
      <c r="I36" s="46"/>
      <c r="J36" s="47" t="str">
        <f aca="false">IF(D36=0,"NO BUDGET",IF(E36&gt;D36*0.05,"over 5%",""))</f>
        <v>over 5%</v>
      </c>
    </row>
    <row r="37" customFormat="false" ht="15" hidden="false" customHeight="false" outlineLevel="0" collapsed="false">
      <c r="B37" s="34" t="s">
        <v>141</v>
      </c>
      <c r="C37" s="35" t="n">
        <f aca="false">SUMIFS(Staging!$H$4:$H$533,Staging!$B$4:$B$533,LEFT($B37,4))</f>
        <v>21259.88</v>
      </c>
      <c r="D37" s="35" t="n">
        <f aca="false">SUMIFS(Budget!$D$4:$D$107,Budget!$B$4:$B$107,LEFT($B37,4))</f>
        <v>0</v>
      </c>
      <c r="E37" s="35" t="n">
        <f aca="false">C37-D37</f>
        <v>21259.88</v>
      </c>
      <c r="F37" s="36" t="str">
        <f aca="false">IF(D37=0,"",E37/D37)</f>
        <v/>
      </c>
      <c r="G37" s="46" t="str">
        <f aca="false">IFERROR(INDEX(Mapping!$H$7:$H$18,MATCH(LEFT($B37,4),Mapping!$F$7:$F$18,0)),"-")</f>
        <v>K. Molnar</v>
      </c>
      <c r="H37" s="46"/>
      <c r="I37" s="46"/>
      <c r="J37" s="47" t="str">
        <f aca="false">IF(D37=0,"NO BUDGET",IF(E37&gt;D37*0.05,"over 5%",""))</f>
        <v>NO BUDGET</v>
      </c>
    </row>
    <row r="38" customFormat="false" ht="15" hidden="false" customHeight="false" outlineLevel="0" collapsed="false">
      <c r="B38" s="38" t="s">
        <v>142</v>
      </c>
      <c r="C38" s="35" t="n">
        <f aca="false">SUMIFS(Staging!$H$4:$H$533,Staging!$B$4:$B$533,LEFT($B38,10))</f>
        <v>2150</v>
      </c>
      <c r="D38" s="35" t="n">
        <f aca="false">SUMIFS(Budget!$D$4:$D$107,Budget!$B$4:$B$107,LEFT($B38,10))</f>
        <v>0</v>
      </c>
      <c r="E38" s="35" t="n">
        <f aca="false">C38-D38</f>
        <v>2150</v>
      </c>
      <c r="F38" s="36" t="str">
        <f aca="false">IF(D38=0,"",E38/D38)</f>
        <v/>
      </c>
      <c r="G38" s="46" t="str">
        <f aca="false">IFERROR(INDEX(Mapping!$H$7:$H$18,MATCH(LEFT($B38,10),Mapping!$F$7:$F$18,0)),"-")</f>
        <v>-</v>
      </c>
      <c r="H38" s="46"/>
      <c r="I38" s="46"/>
      <c r="J38" s="47" t="str">
        <f aca="false">IF(D38=0,"NO BUDGET",IF(E38&gt;D38*0.05,"over 5%",""))</f>
        <v>NO BUDGET</v>
      </c>
    </row>
    <row r="39" customFormat="false" ht="15" hidden="false" customHeight="false" outlineLevel="0" collapsed="false">
      <c r="B39" s="39" t="s">
        <v>143</v>
      </c>
      <c r="C39" s="40" t="n">
        <f aca="false">SUM(C26:C38)</f>
        <v>1086005.18</v>
      </c>
      <c r="D39" s="40" t="n">
        <f aca="false">SUM(D26:D38)</f>
        <v>997970</v>
      </c>
      <c r="E39" s="40" t="n">
        <f aca="false">SUM(E26:E38)</f>
        <v>88035.18</v>
      </c>
      <c r="F39" s="41" t="n">
        <f aca="false">E39/D39</f>
        <v>0.0882142549375232</v>
      </c>
      <c r="G39" s="42"/>
      <c r="H39" s="42"/>
      <c r="I39" s="42"/>
      <c r="J39" s="42"/>
    </row>
    <row r="41" customFormat="false" ht="16.5" hidden="false" customHeight="true" outlineLevel="0" collapsed="false">
      <c r="A41" s="9" t="s">
        <v>144</v>
      </c>
      <c r="B41" s="9"/>
      <c r="C41" s="9"/>
      <c r="D41" s="9"/>
      <c r="E41" s="9"/>
      <c r="F41" s="9"/>
      <c r="G41" s="9"/>
      <c r="H41" s="9"/>
      <c r="I41" s="9"/>
      <c r="J41" s="9"/>
      <c r="K41" s="9"/>
      <c r="L41" s="9"/>
      <c r="M41" s="9"/>
      <c r="N41" s="9"/>
      <c r="O41" s="9"/>
      <c r="P41" s="9"/>
      <c r="Q41" s="9"/>
    </row>
    <row r="42" customFormat="false" ht="45.75" hidden="false" customHeight="true" outlineLevel="0" collapsed="false">
      <c r="B42" s="48" t="s">
        <v>127</v>
      </c>
      <c r="C42" s="49" t="s">
        <v>109</v>
      </c>
      <c r="D42" s="49" t="s">
        <v>110</v>
      </c>
      <c r="E42" s="49" t="s">
        <v>111</v>
      </c>
      <c r="F42" s="49" t="s">
        <v>112</v>
      </c>
      <c r="G42" s="49" t="s">
        <v>113</v>
      </c>
      <c r="H42" s="49" t="s">
        <v>114</v>
      </c>
      <c r="I42" s="49" t="s">
        <v>115</v>
      </c>
      <c r="J42" s="49" t="s">
        <v>116</v>
      </c>
      <c r="K42" s="49" t="s">
        <v>117</v>
      </c>
      <c r="L42" s="49" t="s">
        <v>118</v>
      </c>
      <c r="M42" s="49" t="s">
        <v>119</v>
      </c>
      <c r="N42" s="49" t="s">
        <v>120</v>
      </c>
      <c r="O42" s="49" t="s">
        <v>121</v>
      </c>
      <c r="P42" s="49" t="s">
        <v>122</v>
      </c>
      <c r="Q42" s="49" t="s">
        <v>123</v>
      </c>
    </row>
    <row r="43" customFormat="false" ht="15" hidden="false" customHeight="false" outlineLevel="0" collapsed="false">
      <c r="B43" s="50" t="s">
        <v>145</v>
      </c>
      <c r="C43" s="51" t="n">
        <f aca="false">SUMIFS(Staging!$H$4:$H$533,Staging!$B$4:$B$533,$B43,Staging!$D$4:$D$533,C$42)-SUMIFS(Budget!$D$4:$D$107,Budget!$B$4:$B$107,$B43,Budget!$C$4:$C$107,C$42)+(ROW()*20+COLUMN())/1000000</f>
        <v>30.750863</v>
      </c>
      <c r="D43" s="51" t="n">
        <f aca="false">SUMIFS(Staging!$H$4:$H$533,Staging!$B$4:$B$533,$B43,Staging!$D$4:$D$533,D$42)-SUMIFS(Budget!$D$4:$D$107,Budget!$B$4:$B$107,$B43,Budget!$C$4:$C$107,D$42)+(ROW()*20+COLUMN())/1000000</f>
        <v>6560.000864</v>
      </c>
      <c r="E43" s="51" t="n">
        <f aca="false">SUMIFS(Staging!$H$4:$H$533,Staging!$B$4:$B$533,$B43,Staging!$D$4:$D$533,E$42)-SUMIFS(Budget!$D$4:$D$107,Budget!$B$4:$B$107,$B43,Budget!$C$4:$C$107,E$42)+(ROW()*20+COLUMN())/1000000</f>
        <v>1935.700865</v>
      </c>
      <c r="F43" s="51" t="n">
        <f aca="false">SUMIFS(Staging!$H$4:$H$533,Staging!$B$4:$B$533,$B43,Staging!$D$4:$D$533,F$42)-SUMIFS(Budget!$D$4:$D$107,Budget!$B$4:$B$107,$B43,Budget!$C$4:$C$107,F$42)+(ROW()*20+COLUMN())/1000000</f>
        <v>236.470866000001</v>
      </c>
      <c r="G43" s="51" t="n">
        <f aca="false">SUMIFS(Staging!$H$4:$H$533,Staging!$B$4:$B$533,$B43,Staging!$D$4:$D$533,G$42)-SUMIFS(Budget!$D$4:$D$107,Budget!$B$4:$B$107,$B43,Budget!$C$4:$C$107,G$42)+(ROW()*20+COLUMN())/1000000</f>
        <v>-58.1091330000006</v>
      </c>
      <c r="H43" s="51" t="n">
        <f aca="false">SUMIFS(Staging!$H$4:$H$533,Staging!$B$4:$B$533,$B43,Staging!$D$4:$D$533,H$42)-SUMIFS(Budget!$D$4:$D$107,Budget!$B$4:$B$107,$B43,Budget!$C$4:$C$107,H$42)+(ROW()*20+COLUMN())/1000000</f>
        <v>-16.479132</v>
      </c>
      <c r="I43" s="51" t="n">
        <f aca="false">SUMIFS(Staging!$H$4:$H$533,Staging!$B$4:$B$533,$B43,Staging!$D$4:$D$533,I$42)-SUMIFS(Budget!$D$4:$D$107,Budget!$B$4:$B$107,$B43,Budget!$C$4:$C$107,I$42)+(ROW()*20+COLUMN())/1000000</f>
        <v>-74.7291309999996</v>
      </c>
      <c r="J43" s="51" t="n">
        <f aca="false">SUMIFS(Staging!$H$4:$H$533,Staging!$B$4:$B$533,$B43,Staging!$D$4:$D$533,J$42)-SUMIFS(Budget!$D$4:$D$107,Budget!$B$4:$B$107,$B43,Budget!$C$4:$C$107,J$42)+(ROW()*20+COLUMN())/1000000</f>
        <v>0.00087</v>
      </c>
      <c r="K43" s="51" t="n">
        <f aca="false">SUMIFS(Staging!$H$4:$H$533,Staging!$B$4:$B$533,$B43,Staging!$D$4:$D$533,K$42)-SUMIFS(Budget!$D$4:$D$107,Budget!$B$4:$B$107,$B43,Budget!$C$4:$C$107,K$42)+(ROW()*20+COLUMN())/1000000</f>
        <v>0.000871</v>
      </c>
      <c r="L43" s="51" t="n">
        <f aca="false">SUMIFS(Staging!$H$4:$H$533,Staging!$B$4:$B$533,$B43,Staging!$D$4:$D$533,L$42)-SUMIFS(Budget!$D$4:$D$107,Budget!$B$4:$B$107,$B43,Budget!$C$4:$C$107,L$42)+(ROW()*20+COLUMN())/1000000</f>
        <v>-11.0691280000001</v>
      </c>
      <c r="M43" s="51" t="n">
        <f aca="false">SUMIFS(Staging!$H$4:$H$533,Staging!$B$4:$B$533,$B43,Staging!$D$4:$D$533,M$42)-SUMIFS(Budget!$D$4:$D$107,Budget!$B$4:$B$107,$B43,Budget!$C$4:$C$107,M$42)+(ROW()*20+COLUMN())/1000000</f>
        <v>0.000873</v>
      </c>
      <c r="N43" s="51" t="n">
        <f aca="false">SUMIFS(Staging!$H$4:$H$533,Staging!$B$4:$B$533,$B43,Staging!$D$4:$D$533,N$42)-SUMIFS(Budget!$D$4:$D$107,Budget!$B$4:$B$107,$B43,Budget!$C$4:$C$107,N$42)+(ROW()*20+COLUMN())/1000000</f>
        <v>-2.89912599999998</v>
      </c>
      <c r="O43" s="51" t="n">
        <f aca="false">SUMIFS(Staging!$H$4:$H$533,Staging!$B$4:$B$533,$B43,Staging!$D$4:$D$533,O$42)-SUMIFS(Budget!$D$4:$D$107,Budget!$B$4:$B$107,$B43,Budget!$C$4:$C$107,O$42)+(ROW()*20+COLUMN())/1000000</f>
        <v>0.000875</v>
      </c>
      <c r="P43" s="51" t="n">
        <f aca="false">SUMIFS(Staging!$H$4:$H$533,Staging!$B$4:$B$533,$B43,Staging!$D$4:$D$533,P$42)-SUMIFS(Budget!$D$4:$D$107,Budget!$B$4:$B$107,$B43,Budget!$C$4:$C$107,P$42)+(ROW()*20+COLUMN())/1000000</f>
        <v>515.200875999997</v>
      </c>
      <c r="Q43" s="51" t="n">
        <f aca="false">SUMIFS(Staging!$H$4:$H$533,Staging!$B$4:$B$533,$B43,Staging!$D$4:$D$533,Q$42)-SUMIFS(Budget!$D$4:$D$107,Budget!$B$4:$B$107,$B43,Budget!$C$4:$C$107,Q$42)+(ROW()*20+COLUMN())/1000000</f>
        <v>0.000877</v>
      </c>
    </row>
    <row r="44" customFormat="false" ht="15" hidden="false" customHeight="false" outlineLevel="0" collapsed="false">
      <c r="B44" s="50" t="s">
        <v>146</v>
      </c>
      <c r="C44" s="51" t="n">
        <f aca="false">SUMIFS(Staging!$H$4:$H$533,Staging!$B$4:$B$533,$B44,Staging!$D$4:$D$533,C$42)-SUMIFS(Budget!$D$4:$D$107,Budget!$B$4:$B$107,$B44,Budget!$C$4:$C$107,C$42)+(ROW()*20+COLUMN())/1000000</f>
        <v>259.940882999999</v>
      </c>
      <c r="D44" s="51" t="n">
        <f aca="false">SUMIFS(Staging!$H$4:$H$533,Staging!$B$4:$B$533,$B44,Staging!$D$4:$D$533,D$42)-SUMIFS(Budget!$D$4:$D$107,Budget!$B$4:$B$107,$B44,Budget!$C$4:$C$107,D$42)+(ROW()*20+COLUMN())/1000000</f>
        <v>846.290884000001</v>
      </c>
      <c r="E44" s="51" t="n">
        <f aca="false">SUMIFS(Staging!$H$4:$H$533,Staging!$B$4:$B$533,$B44,Staging!$D$4:$D$533,E$42)-SUMIFS(Budget!$D$4:$D$107,Budget!$B$4:$B$107,$B44,Budget!$C$4:$C$107,E$42)+(ROW()*20+COLUMN())/1000000</f>
        <v>-1496.579115</v>
      </c>
      <c r="F44" s="51" t="n">
        <f aca="false">SUMIFS(Staging!$H$4:$H$533,Staging!$B$4:$B$533,$B44,Staging!$D$4:$D$533,F$42)-SUMIFS(Budget!$D$4:$D$107,Budget!$B$4:$B$107,$B44,Budget!$C$4:$C$107,F$42)+(ROW()*20+COLUMN())/1000000</f>
        <v>115.660886</v>
      </c>
      <c r="G44" s="51" t="n">
        <f aca="false">SUMIFS(Staging!$H$4:$H$533,Staging!$B$4:$B$533,$B44,Staging!$D$4:$D$533,G$42)-SUMIFS(Budget!$D$4:$D$107,Budget!$B$4:$B$107,$B44,Budget!$C$4:$C$107,G$42)+(ROW()*20+COLUMN())/1000000</f>
        <v>25900.000887</v>
      </c>
      <c r="H44" s="51" t="n">
        <f aca="false">SUMIFS(Staging!$H$4:$H$533,Staging!$B$4:$B$533,$B44,Staging!$D$4:$D$533,H$42)-SUMIFS(Budget!$D$4:$D$107,Budget!$B$4:$B$107,$B44,Budget!$C$4:$C$107,H$42)+(ROW()*20+COLUMN())/1000000</f>
        <v>-11.979112</v>
      </c>
      <c r="I44" s="51" t="n">
        <f aca="false">SUMIFS(Staging!$H$4:$H$533,Staging!$B$4:$B$533,$B44,Staging!$D$4:$D$533,I$42)-SUMIFS(Budget!$D$4:$D$107,Budget!$B$4:$B$107,$B44,Budget!$C$4:$C$107,I$42)+(ROW()*20+COLUMN())/1000000</f>
        <v>14.8608890000006</v>
      </c>
      <c r="J44" s="51" t="n">
        <f aca="false">SUMIFS(Staging!$H$4:$H$533,Staging!$B$4:$B$533,$B44,Staging!$D$4:$D$533,J$42)-SUMIFS(Budget!$D$4:$D$107,Budget!$B$4:$B$107,$B44,Budget!$C$4:$C$107,J$42)+(ROW()*20+COLUMN())/1000000</f>
        <v>0.00089</v>
      </c>
      <c r="K44" s="51" t="n">
        <f aca="false">SUMIFS(Staging!$H$4:$H$533,Staging!$B$4:$B$533,$B44,Staging!$D$4:$D$533,K$42)-SUMIFS(Budget!$D$4:$D$107,Budget!$B$4:$B$107,$B44,Budget!$C$4:$C$107,K$42)+(ROW()*20+COLUMN())/1000000</f>
        <v>0.000891</v>
      </c>
      <c r="L44" s="51" t="n">
        <f aca="false">SUMIFS(Staging!$H$4:$H$533,Staging!$B$4:$B$533,$B44,Staging!$D$4:$D$533,L$42)-SUMIFS(Budget!$D$4:$D$107,Budget!$B$4:$B$107,$B44,Budget!$C$4:$C$107,L$42)+(ROW()*20+COLUMN())/1000000</f>
        <v>4.380892</v>
      </c>
      <c r="M44" s="51" t="n">
        <f aca="false">SUMIFS(Staging!$H$4:$H$533,Staging!$B$4:$B$533,$B44,Staging!$D$4:$D$533,M$42)-SUMIFS(Budget!$D$4:$D$107,Budget!$B$4:$B$107,$B44,Budget!$C$4:$C$107,M$42)+(ROW()*20+COLUMN())/1000000</f>
        <v>0.000893</v>
      </c>
      <c r="N44" s="51" t="n">
        <f aca="false">SUMIFS(Staging!$H$4:$H$533,Staging!$B$4:$B$533,$B44,Staging!$D$4:$D$533,N$42)-SUMIFS(Budget!$D$4:$D$107,Budget!$B$4:$B$107,$B44,Budget!$C$4:$C$107,N$42)+(ROW()*20+COLUMN())/1000000</f>
        <v>12.220894</v>
      </c>
      <c r="O44" s="51" t="n">
        <f aca="false">SUMIFS(Staging!$H$4:$H$533,Staging!$B$4:$B$533,$B44,Staging!$D$4:$D$533,O$42)-SUMIFS(Budget!$D$4:$D$107,Budget!$B$4:$B$107,$B44,Budget!$C$4:$C$107,O$42)+(ROW()*20+COLUMN())/1000000</f>
        <v>0.000895</v>
      </c>
      <c r="P44" s="51" t="n">
        <f aca="false">SUMIFS(Staging!$H$4:$H$533,Staging!$B$4:$B$533,$B44,Staging!$D$4:$D$533,P$42)-SUMIFS(Budget!$D$4:$D$107,Budget!$B$4:$B$107,$B44,Budget!$C$4:$C$107,P$42)+(ROW()*20+COLUMN())/1000000</f>
        <v>-389.999104</v>
      </c>
      <c r="Q44" s="51" t="n">
        <f aca="false">SUMIFS(Staging!$H$4:$H$533,Staging!$B$4:$B$533,$B44,Staging!$D$4:$D$533,Q$42)-SUMIFS(Budget!$D$4:$D$107,Budget!$B$4:$B$107,$B44,Budget!$C$4:$C$107,Q$42)+(ROW()*20+COLUMN())/1000000</f>
        <v>0.000897</v>
      </c>
    </row>
    <row r="45" customFormat="false" ht="15" hidden="false" customHeight="false" outlineLevel="0" collapsed="false">
      <c r="B45" s="50" t="s">
        <v>147</v>
      </c>
      <c r="C45" s="51" t="n">
        <f aca="false">SUMIFS(Staging!$H$4:$H$533,Staging!$B$4:$B$533,$B45,Staging!$D$4:$D$533,C$42)-SUMIFS(Budget!$D$4:$D$107,Budget!$B$4:$B$107,$B45,Budget!$C$4:$C$107,C$42)+(ROW()*20+COLUMN())/1000000</f>
        <v>-352.699097000001</v>
      </c>
      <c r="D45" s="51" t="n">
        <f aca="false">SUMIFS(Staging!$H$4:$H$533,Staging!$B$4:$B$533,$B45,Staging!$D$4:$D$533,D$42)-SUMIFS(Budget!$D$4:$D$107,Budget!$B$4:$B$107,$B45,Budget!$C$4:$C$107,D$42)+(ROW()*20+COLUMN())/1000000</f>
        <v>-413.199096000001</v>
      </c>
      <c r="E45" s="51" t="n">
        <f aca="false">SUMIFS(Staging!$H$4:$H$533,Staging!$B$4:$B$533,$B45,Staging!$D$4:$D$533,E$42)-SUMIFS(Budget!$D$4:$D$107,Budget!$B$4:$B$107,$B45,Budget!$C$4:$C$107,E$42)+(ROW()*20+COLUMN())/1000000</f>
        <v>360.790905000001</v>
      </c>
      <c r="F45" s="51" t="n">
        <f aca="false">SUMIFS(Staging!$H$4:$H$533,Staging!$B$4:$B$533,$B45,Staging!$D$4:$D$533,F$42)-SUMIFS(Budget!$D$4:$D$107,Budget!$B$4:$B$107,$B45,Budget!$C$4:$C$107,F$42)+(ROW()*20+COLUMN())/1000000</f>
        <v>-442.509093999998</v>
      </c>
      <c r="G45" s="51" t="n">
        <f aca="false">SUMIFS(Staging!$H$4:$H$533,Staging!$B$4:$B$533,$B45,Staging!$D$4:$D$533,G$42)-SUMIFS(Budget!$D$4:$D$107,Budget!$B$4:$B$107,$B45,Budget!$C$4:$C$107,G$42)+(ROW()*20+COLUMN())/1000000</f>
        <v>-106.459093</v>
      </c>
      <c r="H45" s="51" t="n">
        <f aca="false">SUMIFS(Staging!$H$4:$H$533,Staging!$B$4:$B$533,$B45,Staging!$D$4:$D$533,H$42)-SUMIFS(Budget!$D$4:$D$107,Budget!$B$4:$B$107,$B45,Budget!$C$4:$C$107,H$42)+(ROW()*20+COLUMN())/1000000</f>
        <v>10.520908</v>
      </c>
      <c r="I45" s="51" t="n">
        <f aca="false">SUMIFS(Staging!$H$4:$H$533,Staging!$B$4:$B$533,$B45,Staging!$D$4:$D$533,I$42)-SUMIFS(Budget!$D$4:$D$107,Budget!$B$4:$B$107,$B45,Budget!$C$4:$C$107,I$42)+(ROW()*20+COLUMN())/1000000</f>
        <v>181.100909</v>
      </c>
      <c r="J45" s="51" t="n">
        <f aca="false">SUMIFS(Staging!$H$4:$H$533,Staging!$B$4:$B$533,$B45,Staging!$D$4:$D$533,J$42)-SUMIFS(Budget!$D$4:$D$107,Budget!$B$4:$B$107,$B45,Budget!$C$4:$C$107,J$42)+(ROW()*20+COLUMN())/1000000</f>
        <v>0.00091</v>
      </c>
      <c r="K45" s="51" t="n">
        <f aca="false">SUMIFS(Staging!$H$4:$H$533,Staging!$B$4:$B$533,$B45,Staging!$D$4:$D$533,K$42)-SUMIFS(Budget!$D$4:$D$107,Budget!$B$4:$B$107,$B45,Budget!$C$4:$C$107,K$42)+(ROW()*20+COLUMN())/1000000</f>
        <v>0.000911</v>
      </c>
      <c r="L45" s="51" t="n">
        <f aca="false">SUMIFS(Staging!$H$4:$H$533,Staging!$B$4:$B$533,$B45,Staging!$D$4:$D$533,L$42)-SUMIFS(Budget!$D$4:$D$107,Budget!$B$4:$B$107,$B45,Budget!$C$4:$C$107,L$42)+(ROW()*20+COLUMN())/1000000</f>
        <v>-23.0690880000001</v>
      </c>
      <c r="M45" s="51" t="n">
        <f aca="false">SUMIFS(Staging!$H$4:$H$533,Staging!$B$4:$B$533,$B45,Staging!$D$4:$D$533,M$42)-SUMIFS(Budget!$D$4:$D$107,Budget!$B$4:$B$107,$B45,Budget!$C$4:$C$107,M$42)+(ROW()*20+COLUMN())/1000000</f>
        <v>0.000913</v>
      </c>
      <c r="N45" s="51" t="n">
        <f aca="false">SUMIFS(Staging!$H$4:$H$533,Staging!$B$4:$B$533,$B45,Staging!$D$4:$D$533,N$42)-SUMIFS(Budget!$D$4:$D$107,Budget!$B$4:$B$107,$B45,Budget!$C$4:$C$107,N$42)+(ROW()*20+COLUMN())/1000000</f>
        <v>-8.03908600000002</v>
      </c>
      <c r="O45" s="51" t="n">
        <f aca="false">SUMIFS(Staging!$H$4:$H$533,Staging!$B$4:$B$533,$B45,Staging!$D$4:$D$533,O$42)-SUMIFS(Budget!$D$4:$D$107,Budget!$B$4:$B$107,$B45,Budget!$C$4:$C$107,O$42)+(ROW()*20+COLUMN())/1000000</f>
        <v>0.000915</v>
      </c>
      <c r="P45" s="51" t="n">
        <f aca="false">SUMIFS(Staging!$H$4:$H$533,Staging!$B$4:$B$533,$B45,Staging!$D$4:$D$533,P$42)-SUMIFS(Budget!$D$4:$D$107,Budget!$B$4:$B$107,$B45,Budget!$C$4:$C$107,P$42)+(ROW()*20+COLUMN())/1000000</f>
        <v>-517.339084</v>
      </c>
      <c r="Q45" s="51" t="n">
        <f aca="false">SUMIFS(Staging!$H$4:$H$533,Staging!$B$4:$B$533,$B45,Staging!$D$4:$D$533,Q$42)-SUMIFS(Budget!$D$4:$D$107,Budget!$B$4:$B$107,$B45,Budget!$C$4:$C$107,Q$42)+(ROW()*20+COLUMN())/1000000</f>
        <v>0.000917</v>
      </c>
    </row>
    <row r="46" customFormat="false" ht="15" hidden="false" customHeight="false" outlineLevel="0" collapsed="false">
      <c r="B46" s="50" t="s">
        <v>148</v>
      </c>
      <c r="C46" s="51" t="n">
        <f aca="false">SUMIFS(Staging!$H$4:$H$533,Staging!$B$4:$B$533,$B46,Staging!$D$4:$D$533,C$42)-SUMIFS(Budget!$D$4:$D$107,Budget!$B$4:$B$107,$B46,Budget!$C$4:$C$107,C$42)+(ROW()*20+COLUMN())/1000000</f>
        <v>199.490923</v>
      </c>
      <c r="D46" s="51" t="n">
        <f aca="false">SUMIFS(Staging!$H$4:$H$533,Staging!$B$4:$B$533,$B46,Staging!$D$4:$D$533,D$42)-SUMIFS(Budget!$D$4:$D$107,Budget!$B$4:$B$107,$B46,Budget!$C$4:$C$107,D$42)+(ROW()*20+COLUMN())/1000000</f>
        <v>71.9809239999996</v>
      </c>
      <c r="E46" s="51" t="n">
        <f aca="false">SUMIFS(Staging!$H$4:$H$533,Staging!$B$4:$B$533,$B46,Staging!$D$4:$D$533,E$42)-SUMIFS(Budget!$D$4:$D$107,Budget!$B$4:$B$107,$B46,Budget!$C$4:$C$107,E$42)+(ROW()*20+COLUMN())/1000000</f>
        <v>-67.5690749999997</v>
      </c>
      <c r="F46" s="51" t="n">
        <f aca="false">SUMIFS(Staging!$H$4:$H$533,Staging!$B$4:$B$533,$B46,Staging!$D$4:$D$533,F$42)-SUMIFS(Budget!$D$4:$D$107,Budget!$B$4:$B$107,$B46,Budget!$C$4:$C$107,F$42)+(ROW()*20+COLUMN())/1000000</f>
        <v>-224.549074</v>
      </c>
      <c r="G46" s="51" t="n">
        <f aca="false">SUMIFS(Staging!$H$4:$H$533,Staging!$B$4:$B$533,$B46,Staging!$D$4:$D$533,G$42)-SUMIFS(Budget!$D$4:$D$107,Budget!$B$4:$B$107,$B46,Budget!$C$4:$C$107,G$42)+(ROW()*20+COLUMN())/1000000</f>
        <v>14.2209270000003</v>
      </c>
      <c r="H46" s="51" t="n">
        <f aca="false">SUMIFS(Staging!$H$4:$H$533,Staging!$B$4:$B$533,$B46,Staging!$D$4:$D$533,H$42)-SUMIFS(Budget!$D$4:$D$107,Budget!$B$4:$B$107,$B46,Budget!$C$4:$C$107,H$42)+(ROW()*20+COLUMN())/1000000</f>
        <v>-16.479072</v>
      </c>
      <c r="I46" s="51" t="n">
        <f aca="false">SUMIFS(Staging!$H$4:$H$533,Staging!$B$4:$B$533,$B46,Staging!$D$4:$D$533,I$42)-SUMIFS(Budget!$D$4:$D$107,Budget!$B$4:$B$107,$B46,Budget!$C$4:$C$107,I$42)+(ROW()*20+COLUMN())/1000000</f>
        <v>-126.099071</v>
      </c>
      <c r="J46" s="51" t="n">
        <f aca="false">SUMIFS(Staging!$H$4:$H$533,Staging!$B$4:$B$533,$B46,Staging!$D$4:$D$533,J$42)-SUMIFS(Budget!$D$4:$D$107,Budget!$B$4:$B$107,$B46,Budget!$C$4:$C$107,J$42)+(ROW()*20+COLUMN())/1000000</f>
        <v>0.00093</v>
      </c>
      <c r="K46" s="51" t="n">
        <f aca="false">SUMIFS(Staging!$H$4:$H$533,Staging!$B$4:$B$533,$B46,Staging!$D$4:$D$533,K$42)-SUMIFS(Budget!$D$4:$D$107,Budget!$B$4:$B$107,$B46,Budget!$C$4:$C$107,K$42)+(ROW()*20+COLUMN())/1000000</f>
        <v>0.000931</v>
      </c>
      <c r="L46" s="51" t="n">
        <f aca="false">SUMIFS(Staging!$H$4:$H$533,Staging!$B$4:$B$533,$B46,Staging!$D$4:$D$533,L$42)-SUMIFS(Budget!$D$4:$D$107,Budget!$B$4:$B$107,$B46,Budget!$C$4:$C$107,L$42)+(ROW()*20+COLUMN())/1000000</f>
        <v>-5.82906799999998</v>
      </c>
      <c r="M46" s="51" t="n">
        <f aca="false">SUMIFS(Staging!$H$4:$H$533,Staging!$B$4:$B$533,$B46,Staging!$D$4:$D$533,M$42)-SUMIFS(Budget!$D$4:$D$107,Budget!$B$4:$B$107,$B46,Budget!$C$4:$C$107,M$42)+(ROW()*20+COLUMN())/1000000</f>
        <v>0.000933</v>
      </c>
      <c r="N46" s="51" t="n">
        <f aca="false">SUMIFS(Staging!$H$4:$H$533,Staging!$B$4:$B$533,$B46,Staging!$D$4:$D$533,N$42)-SUMIFS(Budget!$D$4:$D$107,Budget!$B$4:$B$107,$B46,Budget!$C$4:$C$107,N$42)+(ROW()*20+COLUMN())/1000000</f>
        <v>-2.38906599999999</v>
      </c>
      <c r="O46" s="51" t="n">
        <f aca="false">SUMIFS(Staging!$H$4:$H$533,Staging!$B$4:$B$533,$B46,Staging!$D$4:$D$533,O$42)-SUMIFS(Budget!$D$4:$D$107,Budget!$B$4:$B$107,$B46,Budget!$C$4:$C$107,O$42)+(ROW()*20+COLUMN())/1000000</f>
        <v>0.000935</v>
      </c>
      <c r="P46" s="51" t="n">
        <f aca="false">SUMIFS(Staging!$H$4:$H$533,Staging!$B$4:$B$533,$B46,Staging!$D$4:$D$533,P$42)-SUMIFS(Budget!$D$4:$D$107,Budget!$B$4:$B$107,$B46,Budget!$C$4:$C$107,P$42)+(ROW()*20+COLUMN())/1000000</f>
        <v>59.4709360000003</v>
      </c>
      <c r="Q46" s="51" t="n">
        <f aca="false">SUMIFS(Staging!$H$4:$H$533,Staging!$B$4:$B$533,$B46,Staging!$D$4:$D$533,Q$42)-SUMIFS(Budget!$D$4:$D$107,Budget!$B$4:$B$107,$B46,Budget!$C$4:$C$107,Q$42)+(ROW()*20+COLUMN())/1000000</f>
        <v>0.000937</v>
      </c>
    </row>
    <row r="47" customFormat="false" ht="15" hidden="false" customHeight="false" outlineLevel="0" collapsed="false">
      <c r="B47" s="50" t="s">
        <v>149</v>
      </c>
      <c r="C47" s="51" t="n">
        <f aca="false">SUMIFS(Staging!$H$4:$H$533,Staging!$B$4:$B$533,$B47,Staging!$D$4:$D$533,C$42)-SUMIFS(Budget!$D$4:$D$107,Budget!$B$4:$B$107,$B47,Budget!$C$4:$C$107,C$42)+(ROW()*20+COLUMN())/1000000</f>
        <v>1518.790943</v>
      </c>
      <c r="D47" s="51" t="n">
        <f aca="false">SUMIFS(Staging!$H$4:$H$533,Staging!$B$4:$B$533,$B47,Staging!$D$4:$D$533,D$42)-SUMIFS(Budget!$D$4:$D$107,Budget!$B$4:$B$107,$B47,Budget!$C$4:$C$107,D$42)+(ROW()*20+COLUMN())/1000000</f>
        <v>16.6109439999999</v>
      </c>
      <c r="E47" s="51" t="n">
        <f aca="false">SUMIFS(Staging!$H$4:$H$533,Staging!$B$4:$B$533,$B47,Staging!$D$4:$D$533,E$42)-SUMIFS(Budget!$D$4:$D$107,Budget!$B$4:$B$107,$B47,Budget!$C$4:$C$107,E$42)+(ROW()*20+COLUMN())/1000000</f>
        <v>15.8409450000001</v>
      </c>
      <c r="F47" s="51" t="n">
        <f aca="false">SUMIFS(Staging!$H$4:$H$533,Staging!$B$4:$B$533,$B47,Staging!$D$4:$D$533,F$42)-SUMIFS(Budget!$D$4:$D$107,Budget!$B$4:$B$107,$B47,Budget!$C$4:$C$107,F$42)+(ROW()*20+COLUMN())/1000000</f>
        <v>-153.979054</v>
      </c>
      <c r="G47" s="51" t="n">
        <f aca="false">SUMIFS(Staging!$H$4:$H$533,Staging!$B$4:$B$533,$B47,Staging!$D$4:$D$533,G$42)-SUMIFS(Budget!$D$4:$D$107,Budget!$B$4:$B$107,$B47,Budget!$C$4:$C$107,G$42)+(ROW()*20+COLUMN())/1000000</f>
        <v>0.000947</v>
      </c>
      <c r="H47" s="51" t="n">
        <f aca="false">SUMIFS(Staging!$H$4:$H$533,Staging!$B$4:$B$533,$B47,Staging!$D$4:$D$533,H$42)-SUMIFS(Budget!$D$4:$D$107,Budget!$B$4:$B$107,$B47,Budget!$C$4:$C$107,H$42)+(ROW()*20+COLUMN())/1000000</f>
        <v>-47.1290520000001</v>
      </c>
      <c r="I47" s="51" t="n">
        <f aca="false">SUMIFS(Staging!$H$4:$H$533,Staging!$B$4:$B$533,$B47,Staging!$D$4:$D$533,I$42)-SUMIFS(Budget!$D$4:$D$107,Budget!$B$4:$B$107,$B47,Budget!$C$4:$C$107,I$42)+(ROW()*20+COLUMN())/1000000</f>
        <v>3.37094899999989</v>
      </c>
      <c r="J47" s="51" t="n">
        <f aca="false">SUMIFS(Staging!$H$4:$H$533,Staging!$B$4:$B$533,$B47,Staging!$D$4:$D$533,J$42)-SUMIFS(Budget!$D$4:$D$107,Budget!$B$4:$B$107,$B47,Budget!$C$4:$C$107,J$42)+(ROW()*20+COLUMN())/1000000</f>
        <v>0.00095</v>
      </c>
      <c r="K47" s="51" t="n">
        <f aca="false">SUMIFS(Staging!$H$4:$H$533,Staging!$B$4:$B$533,$B47,Staging!$D$4:$D$533,K$42)-SUMIFS(Budget!$D$4:$D$107,Budget!$B$4:$B$107,$B47,Budget!$C$4:$C$107,K$42)+(ROW()*20+COLUMN())/1000000</f>
        <v>0.000951</v>
      </c>
      <c r="L47" s="51" t="n">
        <f aca="false">SUMIFS(Staging!$H$4:$H$533,Staging!$B$4:$B$533,$B47,Staging!$D$4:$D$533,L$42)-SUMIFS(Budget!$D$4:$D$107,Budget!$B$4:$B$107,$B47,Budget!$C$4:$C$107,L$42)+(ROW()*20+COLUMN())/1000000</f>
        <v>27.4009520000001</v>
      </c>
      <c r="M47" s="51" t="n">
        <f aca="false">SUMIFS(Staging!$H$4:$H$533,Staging!$B$4:$B$533,$B47,Staging!$D$4:$D$533,M$42)-SUMIFS(Budget!$D$4:$D$107,Budget!$B$4:$B$107,$B47,Budget!$C$4:$C$107,M$42)+(ROW()*20+COLUMN())/1000000</f>
        <v>-43.199047</v>
      </c>
      <c r="N47" s="51" t="n">
        <f aca="false">SUMIFS(Staging!$H$4:$H$533,Staging!$B$4:$B$533,$B47,Staging!$D$4:$D$533,N$42)-SUMIFS(Budget!$D$4:$D$107,Budget!$B$4:$B$107,$B47,Budget!$C$4:$C$107,N$42)+(ROW()*20+COLUMN())/1000000</f>
        <v>-7.98904600000001</v>
      </c>
      <c r="O47" s="51" t="n">
        <f aca="false">SUMIFS(Staging!$H$4:$H$533,Staging!$B$4:$B$533,$B47,Staging!$D$4:$D$533,O$42)-SUMIFS(Budget!$D$4:$D$107,Budget!$B$4:$B$107,$B47,Budget!$C$4:$C$107,O$42)+(ROW()*20+COLUMN())/1000000</f>
        <v>0.000955</v>
      </c>
      <c r="P47" s="51" t="n">
        <f aca="false">SUMIFS(Staging!$H$4:$H$533,Staging!$B$4:$B$533,$B47,Staging!$D$4:$D$533,P$42)-SUMIFS(Budget!$D$4:$D$107,Budget!$B$4:$B$107,$B47,Budget!$C$4:$C$107,P$42)+(ROW()*20+COLUMN())/1000000</f>
        <v>-149.019044</v>
      </c>
      <c r="Q47" s="51" t="n">
        <f aca="false">SUMIFS(Staging!$H$4:$H$533,Staging!$B$4:$B$533,$B47,Staging!$D$4:$D$533,Q$42)-SUMIFS(Budget!$D$4:$D$107,Budget!$B$4:$B$107,$B47,Budget!$C$4:$C$107,Q$42)+(ROW()*20+COLUMN())/1000000</f>
        <v>0.000957</v>
      </c>
    </row>
    <row r="48" customFormat="false" ht="15" hidden="false" customHeight="false" outlineLevel="0" collapsed="false">
      <c r="B48" s="50" t="s">
        <v>150</v>
      </c>
      <c r="C48" s="51" t="n">
        <f aca="false">SUMIFS(Staging!$H$4:$H$533,Staging!$B$4:$B$533,$B48,Staging!$D$4:$D$533,C$42)-SUMIFS(Budget!$D$4:$D$107,Budget!$B$4:$B$107,$B48,Budget!$C$4:$C$107,C$42)+(ROW()*20+COLUMN())/1000000</f>
        <v>130.100963</v>
      </c>
      <c r="D48" s="51" t="n">
        <f aca="false">SUMIFS(Staging!$H$4:$H$533,Staging!$B$4:$B$533,$B48,Staging!$D$4:$D$533,D$42)-SUMIFS(Budget!$D$4:$D$107,Budget!$B$4:$B$107,$B48,Budget!$C$4:$C$107,D$42)+(ROW()*20+COLUMN())/1000000</f>
        <v>-14.469036</v>
      </c>
      <c r="E48" s="51" t="n">
        <f aca="false">SUMIFS(Staging!$H$4:$H$533,Staging!$B$4:$B$533,$B48,Staging!$D$4:$D$533,E$42)-SUMIFS(Budget!$D$4:$D$107,Budget!$B$4:$B$107,$B48,Budget!$C$4:$C$107,E$42)+(ROW()*20+COLUMN())/1000000</f>
        <v>330.970965000001</v>
      </c>
      <c r="F48" s="51" t="n">
        <f aca="false">SUMIFS(Staging!$H$4:$H$533,Staging!$B$4:$B$533,$B48,Staging!$D$4:$D$533,F$42)-SUMIFS(Budget!$D$4:$D$107,Budget!$B$4:$B$107,$B48,Budget!$C$4:$C$107,F$42)+(ROW()*20+COLUMN())/1000000</f>
        <v>-25.0590339999995</v>
      </c>
      <c r="G48" s="51" t="n">
        <f aca="false">SUMIFS(Staging!$H$4:$H$533,Staging!$B$4:$B$533,$B48,Staging!$D$4:$D$533,G$42)-SUMIFS(Budget!$D$4:$D$107,Budget!$B$4:$B$107,$B48,Budget!$C$4:$C$107,G$42)+(ROW()*20+COLUMN())/1000000</f>
        <v>25.8309669999999</v>
      </c>
      <c r="H48" s="51" t="n">
        <f aca="false">SUMIFS(Staging!$H$4:$H$533,Staging!$B$4:$B$533,$B48,Staging!$D$4:$D$533,H$42)-SUMIFS(Budget!$D$4:$D$107,Budget!$B$4:$B$107,$B48,Budget!$C$4:$C$107,H$42)+(ROW()*20+COLUMN())/1000000</f>
        <v>-26.219032</v>
      </c>
      <c r="I48" s="51" t="n">
        <f aca="false">SUMIFS(Staging!$H$4:$H$533,Staging!$B$4:$B$533,$B48,Staging!$D$4:$D$533,I$42)-SUMIFS(Budget!$D$4:$D$107,Budget!$B$4:$B$107,$B48,Budget!$C$4:$C$107,I$42)+(ROW()*20+COLUMN())/1000000</f>
        <v>21400.000969</v>
      </c>
      <c r="J48" s="51" t="n">
        <f aca="false">SUMIFS(Staging!$H$4:$H$533,Staging!$B$4:$B$533,$B48,Staging!$D$4:$D$533,J$42)-SUMIFS(Budget!$D$4:$D$107,Budget!$B$4:$B$107,$B48,Budget!$C$4:$C$107,J$42)+(ROW()*20+COLUMN())/1000000</f>
        <v>0.00097</v>
      </c>
      <c r="K48" s="51" t="n">
        <f aca="false">SUMIFS(Staging!$H$4:$H$533,Staging!$B$4:$B$533,$B48,Staging!$D$4:$D$533,K$42)-SUMIFS(Budget!$D$4:$D$107,Budget!$B$4:$B$107,$B48,Budget!$C$4:$C$107,K$42)+(ROW()*20+COLUMN())/1000000</f>
        <v>0.000971</v>
      </c>
      <c r="L48" s="51" t="n">
        <f aca="false">SUMIFS(Staging!$H$4:$H$533,Staging!$B$4:$B$533,$B48,Staging!$D$4:$D$533,L$42)-SUMIFS(Budget!$D$4:$D$107,Budget!$B$4:$B$107,$B48,Budget!$C$4:$C$107,L$42)+(ROW()*20+COLUMN())/1000000</f>
        <v>16.860972</v>
      </c>
      <c r="M48" s="51" t="n">
        <f aca="false">SUMIFS(Staging!$H$4:$H$533,Staging!$B$4:$B$533,$B48,Staging!$D$4:$D$533,M$42)-SUMIFS(Budget!$D$4:$D$107,Budget!$B$4:$B$107,$B48,Budget!$C$4:$C$107,M$42)+(ROW()*20+COLUMN())/1000000</f>
        <v>0.000973</v>
      </c>
      <c r="N48" s="51" t="n">
        <f aca="false">SUMIFS(Staging!$H$4:$H$533,Staging!$B$4:$B$533,$B48,Staging!$D$4:$D$533,N$42)-SUMIFS(Budget!$D$4:$D$107,Budget!$B$4:$B$107,$B48,Budget!$C$4:$C$107,N$42)+(ROW()*20+COLUMN())/1000000</f>
        <v>-10.359026</v>
      </c>
      <c r="O48" s="51" t="n">
        <f aca="false">SUMIFS(Staging!$H$4:$H$533,Staging!$B$4:$B$533,$B48,Staging!$D$4:$D$533,O$42)-SUMIFS(Budget!$D$4:$D$107,Budget!$B$4:$B$107,$B48,Budget!$C$4:$C$107,O$42)+(ROW()*20+COLUMN())/1000000</f>
        <v>0.000975</v>
      </c>
      <c r="P48" s="51" t="n">
        <f aca="false">SUMIFS(Staging!$H$4:$H$533,Staging!$B$4:$B$533,$B48,Staging!$D$4:$D$533,P$42)-SUMIFS(Budget!$D$4:$D$107,Budget!$B$4:$B$107,$B48,Budget!$C$4:$C$107,P$42)+(ROW()*20+COLUMN())/1000000</f>
        <v>28.2009759999998</v>
      </c>
      <c r="Q48" s="51" t="n">
        <f aca="false">SUMIFS(Staging!$H$4:$H$533,Staging!$B$4:$B$533,$B48,Staging!$D$4:$D$533,Q$42)-SUMIFS(Budget!$D$4:$D$107,Budget!$B$4:$B$107,$B48,Budget!$C$4:$C$107,Q$42)+(ROW()*20+COLUMN())/1000000</f>
        <v>0.000977</v>
      </c>
    </row>
    <row r="49" customFormat="false" ht="15" hidden="false" customHeight="false" outlineLevel="0" collapsed="false">
      <c r="B49" s="50" t="s">
        <v>151</v>
      </c>
      <c r="C49" s="51" t="n">
        <f aca="false">SUMIFS(Staging!$H$4:$H$533,Staging!$B$4:$B$533,$B49,Staging!$D$4:$D$533,C$42)-SUMIFS(Budget!$D$4:$D$107,Budget!$B$4:$B$107,$B49,Budget!$C$4:$C$107,C$42)+(ROW()*20+COLUMN())/1000000</f>
        <v>-30.6790170000003</v>
      </c>
      <c r="D49" s="51" t="n">
        <f aca="false">SUMIFS(Staging!$H$4:$H$533,Staging!$B$4:$B$533,$B49,Staging!$D$4:$D$533,D$42)-SUMIFS(Budget!$D$4:$D$107,Budget!$B$4:$B$107,$B49,Budget!$C$4:$C$107,D$42)+(ROW()*20+COLUMN())/1000000</f>
        <v>36.5609840000004</v>
      </c>
      <c r="E49" s="51" t="n">
        <f aca="false">SUMIFS(Staging!$H$4:$H$533,Staging!$B$4:$B$533,$B49,Staging!$D$4:$D$533,E$42)-SUMIFS(Budget!$D$4:$D$107,Budget!$B$4:$B$107,$B49,Budget!$C$4:$C$107,E$42)+(ROW()*20+COLUMN())/1000000</f>
        <v>649.980985</v>
      </c>
      <c r="F49" s="51" t="n">
        <f aca="false">SUMIFS(Staging!$H$4:$H$533,Staging!$B$4:$B$533,$B49,Staging!$D$4:$D$533,F$42)-SUMIFS(Budget!$D$4:$D$107,Budget!$B$4:$B$107,$B49,Budget!$C$4:$C$107,F$42)+(ROW()*20+COLUMN())/1000000</f>
        <v>-210.109014000001</v>
      </c>
      <c r="G49" s="51" t="n">
        <f aca="false">SUMIFS(Staging!$H$4:$H$533,Staging!$B$4:$B$533,$B49,Staging!$D$4:$D$533,G$42)-SUMIFS(Budget!$D$4:$D$107,Budget!$B$4:$B$107,$B49,Budget!$C$4:$C$107,G$42)+(ROW()*20+COLUMN())/1000000</f>
        <v>-99.7590130000002</v>
      </c>
      <c r="H49" s="51" t="n">
        <f aca="false">SUMIFS(Staging!$H$4:$H$533,Staging!$B$4:$B$533,$B49,Staging!$D$4:$D$533,H$42)-SUMIFS(Budget!$D$4:$D$107,Budget!$B$4:$B$107,$B49,Budget!$C$4:$C$107,H$42)+(ROW()*20+COLUMN())/1000000</f>
        <v>-13.429012</v>
      </c>
      <c r="I49" s="51" t="n">
        <f aca="false">SUMIFS(Staging!$H$4:$H$533,Staging!$B$4:$B$533,$B49,Staging!$D$4:$D$533,I$42)-SUMIFS(Budget!$D$4:$D$107,Budget!$B$4:$B$107,$B49,Budget!$C$4:$C$107,I$42)+(ROW()*20+COLUMN())/1000000</f>
        <v>-21.289011</v>
      </c>
      <c r="J49" s="51" t="n">
        <f aca="false">SUMIFS(Staging!$H$4:$H$533,Staging!$B$4:$B$533,$B49,Staging!$D$4:$D$533,J$42)-SUMIFS(Budget!$D$4:$D$107,Budget!$B$4:$B$107,$B49,Budget!$C$4:$C$107,J$42)+(ROW()*20+COLUMN())/1000000</f>
        <v>118.80099</v>
      </c>
      <c r="K49" s="51" t="n">
        <f aca="false">SUMIFS(Staging!$H$4:$H$533,Staging!$B$4:$B$533,$B49,Staging!$D$4:$D$533,K$42)-SUMIFS(Budget!$D$4:$D$107,Budget!$B$4:$B$107,$B49,Budget!$C$4:$C$107,K$42)+(ROW()*20+COLUMN())/1000000</f>
        <v>-3799.999009</v>
      </c>
      <c r="L49" s="51" t="n">
        <f aca="false">SUMIFS(Staging!$H$4:$H$533,Staging!$B$4:$B$533,$B49,Staging!$D$4:$D$533,L$42)-SUMIFS(Budget!$D$4:$D$107,Budget!$B$4:$B$107,$B49,Budget!$C$4:$C$107,L$42)+(ROW()*20+COLUMN())/1000000</f>
        <v>-5.02900799999997</v>
      </c>
      <c r="M49" s="51" t="n">
        <f aca="false">SUMIFS(Staging!$H$4:$H$533,Staging!$B$4:$B$533,$B49,Staging!$D$4:$D$533,M$42)-SUMIFS(Budget!$D$4:$D$107,Budget!$B$4:$B$107,$B49,Budget!$C$4:$C$107,M$42)+(ROW()*20+COLUMN())/1000000</f>
        <v>0.000993</v>
      </c>
      <c r="N49" s="51" t="n">
        <f aca="false">SUMIFS(Staging!$H$4:$H$533,Staging!$B$4:$B$533,$B49,Staging!$D$4:$D$533,N$42)-SUMIFS(Budget!$D$4:$D$107,Budget!$B$4:$B$107,$B49,Budget!$C$4:$C$107,N$42)+(ROW()*20+COLUMN())/1000000</f>
        <v>-7.39900599999998</v>
      </c>
      <c r="O49" s="51" t="n">
        <f aca="false">SUMIFS(Staging!$H$4:$H$533,Staging!$B$4:$B$533,$B49,Staging!$D$4:$D$533,O$42)-SUMIFS(Budget!$D$4:$D$107,Budget!$B$4:$B$107,$B49,Budget!$C$4:$C$107,O$42)+(ROW()*20+COLUMN())/1000000</f>
        <v>0.000995</v>
      </c>
      <c r="P49" s="51" t="n">
        <f aca="false">SUMIFS(Staging!$H$4:$H$533,Staging!$B$4:$B$533,$B49,Staging!$D$4:$D$533,P$42)-SUMIFS(Budget!$D$4:$D$107,Budget!$B$4:$B$107,$B49,Budget!$C$4:$C$107,P$42)+(ROW()*20+COLUMN())/1000000</f>
        <v>46.8309959999999</v>
      </c>
      <c r="Q49" s="51" t="n">
        <f aca="false">SUMIFS(Staging!$H$4:$H$533,Staging!$B$4:$B$533,$B49,Staging!$D$4:$D$533,Q$42)-SUMIFS(Budget!$D$4:$D$107,Budget!$B$4:$B$107,$B49,Budget!$C$4:$C$107,Q$42)+(ROW()*20+COLUMN())/1000000</f>
        <v>4855.500997</v>
      </c>
    </row>
    <row r="50" customFormat="false" ht="15" hidden="false" customHeight="false" outlineLevel="0" collapsed="false">
      <c r="B50" s="50" t="s">
        <v>152</v>
      </c>
      <c r="C50" s="51" t="n">
        <f aca="false">SUMIFS(Staging!$H$4:$H$533,Staging!$B$4:$B$533,$B50,Staging!$D$4:$D$533,C$42)-SUMIFS(Budget!$D$4:$D$107,Budget!$B$4:$B$107,$B50,Budget!$C$4:$C$107,C$42)+(ROW()*20+COLUMN())/1000000</f>
        <v>0.001003</v>
      </c>
      <c r="D50" s="51" t="n">
        <f aca="false">SUMIFS(Staging!$H$4:$H$533,Staging!$B$4:$B$533,$B50,Staging!$D$4:$D$533,D$42)-SUMIFS(Budget!$D$4:$D$107,Budget!$B$4:$B$107,$B50,Budget!$C$4:$C$107,D$42)+(ROW()*20+COLUMN())/1000000</f>
        <v>0.001004</v>
      </c>
      <c r="E50" s="51" t="n">
        <f aca="false">SUMIFS(Staging!$H$4:$H$533,Staging!$B$4:$B$533,$B50,Staging!$D$4:$D$533,E$42)-SUMIFS(Budget!$D$4:$D$107,Budget!$B$4:$B$107,$B50,Budget!$C$4:$C$107,E$42)+(ROW()*20+COLUMN())/1000000</f>
        <v>380.801004999999</v>
      </c>
      <c r="F50" s="51" t="n">
        <f aca="false">SUMIFS(Staging!$H$4:$H$533,Staging!$B$4:$B$533,$B50,Staging!$D$4:$D$533,F$42)-SUMIFS(Budget!$D$4:$D$107,Budget!$B$4:$B$107,$B50,Budget!$C$4:$C$107,F$42)+(ROW()*20+COLUMN())/1000000</f>
        <v>21.4410060000005</v>
      </c>
      <c r="G50" s="51" t="n">
        <f aca="false">SUMIFS(Staging!$H$4:$H$533,Staging!$B$4:$B$533,$B50,Staging!$D$4:$D$533,G$42)-SUMIFS(Budget!$D$4:$D$107,Budget!$B$4:$B$107,$B50,Budget!$C$4:$C$107,G$42)+(ROW()*20+COLUMN())/1000000</f>
        <v>0.001007</v>
      </c>
      <c r="H50" s="51" t="n">
        <f aca="false">SUMIFS(Staging!$H$4:$H$533,Staging!$B$4:$B$533,$B50,Staging!$D$4:$D$533,H$42)-SUMIFS(Budget!$D$4:$D$107,Budget!$B$4:$B$107,$B50,Budget!$C$4:$C$107,H$42)+(ROW()*20+COLUMN())/1000000</f>
        <v>-0.888991999999986</v>
      </c>
      <c r="I50" s="51" t="n">
        <f aca="false">SUMIFS(Staging!$H$4:$H$533,Staging!$B$4:$B$533,$B50,Staging!$D$4:$D$533,I$42)-SUMIFS(Budget!$D$4:$D$107,Budget!$B$4:$B$107,$B50,Budget!$C$4:$C$107,I$42)+(ROW()*20+COLUMN())/1000000</f>
        <v>0.001009</v>
      </c>
      <c r="J50" s="51" t="n">
        <f aca="false">SUMIFS(Staging!$H$4:$H$533,Staging!$B$4:$B$533,$B50,Staging!$D$4:$D$533,J$42)-SUMIFS(Budget!$D$4:$D$107,Budget!$B$4:$B$107,$B50,Budget!$C$4:$C$107,J$42)+(ROW()*20+COLUMN())/1000000</f>
        <v>0.00101</v>
      </c>
      <c r="K50" s="51" t="n">
        <f aca="false">SUMIFS(Staging!$H$4:$H$533,Staging!$B$4:$B$533,$B50,Staging!$D$4:$D$533,K$42)-SUMIFS(Budget!$D$4:$D$107,Budget!$B$4:$B$107,$B50,Budget!$C$4:$C$107,K$42)+(ROW()*20+COLUMN())/1000000</f>
        <v>0.001011</v>
      </c>
      <c r="L50" s="51" t="n">
        <f aca="false">SUMIFS(Staging!$H$4:$H$533,Staging!$B$4:$B$533,$B50,Staging!$D$4:$D$533,L$42)-SUMIFS(Budget!$D$4:$D$107,Budget!$B$4:$B$107,$B50,Budget!$C$4:$C$107,L$42)+(ROW()*20+COLUMN())/1000000</f>
        <v>52.8510120000004</v>
      </c>
      <c r="M50" s="51" t="n">
        <f aca="false">SUMIFS(Staging!$H$4:$H$533,Staging!$B$4:$B$533,$B50,Staging!$D$4:$D$533,M$42)-SUMIFS(Budget!$D$4:$D$107,Budget!$B$4:$B$107,$B50,Budget!$C$4:$C$107,M$42)+(ROW()*20+COLUMN())/1000000</f>
        <v>0.001013</v>
      </c>
      <c r="N50" s="51" t="n">
        <f aca="false">SUMIFS(Staging!$H$4:$H$533,Staging!$B$4:$B$533,$B50,Staging!$D$4:$D$533,N$42)-SUMIFS(Budget!$D$4:$D$107,Budget!$B$4:$B$107,$B50,Budget!$C$4:$C$107,N$42)+(ROW()*20+COLUMN())/1000000</f>
        <v>0.551014000000011</v>
      </c>
      <c r="O50" s="51" t="n">
        <f aca="false">SUMIFS(Staging!$H$4:$H$533,Staging!$B$4:$B$533,$B50,Staging!$D$4:$D$533,O$42)-SUMIFS(Budget!$D$4:$D$107,Budget!$B$4:$B$107,$B50,Budget!$C$4:$C$107,O$42)+(ROW()*20+COLUMN())/1000000</f>
        <v>0.001015</v>
      </c>
      <c r="P50" s="51" t="n">
        <f aca="false">SUMIFS(Staging!$H$4:$H$533,Staging!$B$4:$B$533,$B50,Staging!$D$4:$D$533,P$42)-SUMIFS(Budget!$D$4:$D$107,Budget!$B$4:$B$107,$B50,Budget!$C$4:$C$107,P$42)+(ROW()*20+COLUMN())/1000000</f>
        <v>13.091016</v>
      </c>
      <c r="Q50" s="51" t="n">
        <f aca="false">SUMIFS(Staging!$H$4:$H$533,Staging!$B$4:$B$533,$B50,Staging!$D$4:$D$533,Q$42)-SUMIFS(Budget!$D$4:$D$107,Budget!$B$4:$B$107,$B50,Budget!$C$4:$C$107,Q$42)+(ROW()*20+COLUMN())/1000000</f>
        <v>0.001017</v>
      </c>
    </row>
    <row r="51" customFormat="false" ht="15" hidden="false" customHeight="false" outlineLevel="0" collapsed="false">
      <c r="B51" s="50" t="s">
        <v>153</v>
      </c>
      <c r="C51" s="51" t="n">
        <f aca="false">SUMIFS(Staging!$H$4:$H$533,Staging!$B$4:$B$533,$B51,Staging!$D$4:$D$533,C$42)-SUMIFS(Budget!$D$4:$D$107,Budget!$B$4:$B$107,$B51,Budget!$C$4:$C$107,C$42)+(ROW()*20+COLUMN())/1000000</f>
        <v>-93.0789769999999</v>
      </c>
      <c r="D51" s="51" t="n">
        <f aca="false">SUMIFS(Staging!$H$4:$H$533,Staging!$B$4:$B$533,$B51,Staging!$D$4:$D$533,D$42)-SUMIFS(Budget!$D$4:$D$107,Budget!$B$4:$B$107,$B51,Budget!$C$4:$C$107,D$42)+(ROW()*20+COLUMN())/1000000</f>
        <v>0.001024</v>
      </c>
      <c r="E51" s="51" t="n">
        <f aca="false">SUMIFS(Staging!$H$4:$H$533,Staging!$B$4:$B$533,$B51,Staging!$D$4:$D$533,E$42)-SUMIFS(Budget!$D$4:$D$107,Budget!$B$4:$B$107,$B51,Budget!$C$4:$C$107,E$42)+(ROW()*20+COLUMN())/1000000</f>
        <v>824.731025</v>
      </c>
      <c r="F51" s="51" t="n">
        <f aca="false">SUMIFS(Staging!$H$4:$H$533,Staging!$B$4:$B$533,$B51,Staging!$D$4:$D$533,F$42)-SUMIFS(Budget!$D$4:$D$107,Budget!$B$4:$B$107,$B51,Budget!$C$4:$C$107,F$42)+(ROW()*20+COLUMN())/1000000</f>
        <v>-286.918974</v>
      </c>
      <c r="G51" s="51" t="n">
        <f aca="false">SUMIFS(Staging!$H$4:$H$533,Staging!$B$4:$B$533,$B51,Staging!$D$4:$D$533,G$42)-SUMIFS(Budget!$D$4:$D$107,Budget!$B$4:$B$107,$B51,Budget!$C$4:$C$107,G$42)+(ROW()*20+COLUMN())/1000000</f>
        <v>69.3610269999997</v>
      </c>
      <c r="H51" s="51" t="n">
        <f aca="false">SUMIFS(Staging!$H$4:$H$533,Staging!$B$4:$B$533,$B51,Staging!$D$4:$D$533,H$42)-SUMIFS(Budget!$D$4:$D$107,Budget!$B$4:$B$107,$B51,Budget!$C$4:$C$107,H$42)+(ROW()*20+COLUMN())/1000000</f>
        <v>-58.058972</v>
      </c>
      <c r="I51" s="51" t="n">
        <f aca="false">SUMIFS(Staging!$H$4:$H$533,Staging!$B$4:$B$533,$B51,Staging!$D$4:$D$533,I$42)-SUMIFS(Budget!$D$4:$D$107,Budget!$B$4:$B$107,$B51,Budget!$C$4:$C$107,I$42)+(ROW()*20+COLUMN())/1000000</f>
        <v>22.8510289999999</v>
      </c>
      <c r="J51" s="51" t="n">
        <f aca="false">SUMIFS(Staging!$H$4:$H$533,Staging!$B$4:$B$533,$B51,Staging!$D$4:$D$533,J$42)-SUMIFS(Budget!$D$4:$D$107,Budget!$B$4:$B$107,$B51,Budget!$C$4:$C$107,J$42)+(ROW()*20+COLUMN())/1000000</f>
        <v>0.00103</v>
      </c>
      <c r="K51" s="51" t="n">
        <f aca="false">SUMIFS(Staging!$H$4:$H$533,Staging!$B$4:$B$533,$B51,Staging!$D$4:$D$533,K$42)-SUMIFS(Budget!$D$4:$D$107,Budget!$B$4:$B$107,$B51,Budget!$C$4:$C$107,K$42)+(ROW()*20+COLUMN())/1000000</f>
        <v>0.001031</v>
      </c>
      <c r="L51" s="51" t="n">
        <f aca="false">SUMIFS(Staging!$H$4:$H$533,Staging!$B$4:$B$533,$B51,Staging!$D$4:$D$533,L$42)-SUMIFS(Budget!$D$4:$D$107,Budget!$B$4:$B$107,$B51,Budget!$C$4:$C$107,L$42)+(ROW()*20+COLUMN())/1000000</f>
        <v>41.0610319999995</v>
      </c>
      <c r="M51" s="51" t="n">
        <f aca="false">SUMIFS(Staging!$H$4:$H$533,Staging!$B$4:$B$533,$B51,Staging!$D$4:$D$533,M$42)-SUMIFS(Budget!$D$4:$D$107,Budget!$B$4:$B$107,$B51,Budget!$C$4:$C$107,M$42)+(ROW()*20+COLUMN())/1000000</f>
        <v>23.0510330000002</v>
      </c>
      <c r="N51" s="51" t="n">
        <f aca="false">SUMIFS(Staging!$H$4:$H$533,Staging!$B$4:$B$533,$B51,Staging!$D$4:$D$533,N$42)-SUMIFS(Budget!$D$4:$D$107,Budget!$B$4:$B$107,$B51,Budget!$C$4:$C$107,N$42)+(ROW()*20+COLUMN())/1000000</f>
        <v>-10.998966</v>
      </c>
      <c r="O51" s="51" t="n">
        <f aca="false">SUMIFS(Staging!$H$4:$H$533,Staging!$B$4:$B$533,$B51,Staging!$D$4:$D$533,O$42)-SUMIFS(Budget!$D$4:$D$107,Budget!$B$4:$B$107,$B51,Budget!$C$4:$C$107,O$42)+(ROW()*20+COLUMN())/1000000</f>
        <v>0.001035</v>
      </c>
      <c r="P51" s="51" t="n">
        <f aca="false">SUMIFS(Staging!$H$4:$H$533,Staging!$B$4:$B$533,$B51,Staging!$D$4:$D$533,P$42)-SUMIFS(Budget!$D$4:$D$107,Budget!$B$4:$B$107,$B51,Budget!$C$4:$C$107,P$42)+(ROW()*20+COLUMN())/1000000</f>
        <v>-74.0689639999997</v>
      </c>
      <c r="Q51" s="51" t="n">
        <f aca="false">SUMIFS(Staging!$H$4:$H$533,Staging!$B$4:$B$533,$B51,Staging!$D$4:$D$533,Q$42)-SUMIFS(Budget!$D$4:$D$107,Budget!$B$4:$B$107,$B51,Budget!$C$4:$C$107,Q$42)+(ROW()*20+COLUMN())/1000000</f>
        <v>0.001037</v>
      </c>
    </row>
    <row r="52" customFormat="false" ht="15" hidden="false" customHeight="false" outlineLevel="0" collapsed="false">
      <c r="B52" s="50" t="s">
        <v>154</v>
      </c>
      <c r="C52" s="51" t="n">
        <f aca="false">SUMIFS(Staging!$H$4:$H$533,Staging!$B$4:$B$533,$B52,Staging!$D$4:$D$533,C$42)-SUMIFS(Budget!$D$4:$D$107,Budget!$B$4:$B$107,$B52,Budget!$C$4:$C$107,C$42)+(ROW()*20+COLUMN())/1000000</f>
        <v>0.001043</v>
      </c>
      <c r="D52" s="51" t="n">
        <f aca="false">SUMIFS(Staging!$H$4:$H$533,Staging!$B$4:$B$533,$B52,Staging!$D$4:$D$533,D$42)-SUMIFS(Budget!$D$4:$D$107,Budget!$B$4:$B$107,$B52,Budget!$C$4:$C$107,D$42)+(ROW()*20+COLUMN())/1000000</f>
        <v>0.001044</v>
      </c>
      <c r="E52" s="51" t="n">
        <f aca="false">SUMIFS(Staging!$H$4:$H$533,Staging!$B$4:$B$533,$B52,Staging!$D$4:$D$533,E$42)-SUMIFS(Budget!$D$4:$D$107,Budget!$B$4:$B$107,$B52,Budget!$C$4:$C$107,E$42)+(ROW()*20+COLUMN())/1000000</f>
        <v>775.621044999999</v>
      </c>
      <c r="F52" s="51" t="n">
        <f aca="false">SUMIFS(Staging!$H$4:$H$533,Staging!$B$4:$B$533,$B52,Staging!$D$4:$D$533,F$42)-SUMIFS(Budget!$D$4:$D$107,Budget!$B$4:$B$107,$B52,Budget!$C$4:$C$107,F$42)+(ROW()*20+COLUMN())/1000000</f>
        <v>-242.658954</v>
      </c>
      <c r="G52" s="51" t="n">
        <f aca="false">SUMIFS(Staging!$H$4:$H$533,Staging!$B$4:$B$533,$B52,Staging!$D$4:$D$533,G$42)-SUMIFS(Budget!$D$4:$D$107,Budget!$B$4:$B$107,$B52,Budget!$C$4:$C$107,G$42)+(ROW()*20+COLUMN())/1000000</f>
        <v>0.001047</v>
      </c>
      <c r="H52" s="51" t="n">
        <f aca="false">SUMIFS(Staging!$H$4:$H$533,Staging!$B$4:$B$533,$B52,Staging!$D$4:$D$533,H$42)-SUMIFS(Budget!$D$4:$D$107,Budget!$B$4:$B$107,$B52,Budget!$C$4:$C$107,H$42)+(ROW()*20+COLUMN())/1000000</f>
        <v>5.131048</v>
      </c>
      <c r="I52" s="51" t="n">
        <f aca="false">SUMIFS(Staging!$H$4:$H$533,Staging!$B$4:$B$533,$B52,Staging!$D$4:$D$533,I$42)-SUMIFS(Budget!$D$4:$D$107,Budget!$B$4:$B$107,$B52,Budget!$C$4:$C$107,I$42)+(ROW()*20+COLUMN())/1000000</f>
        <v>0.001049</v>
      </c>
      <c r="J52" s="51" t="n">
        <f aca="false">SUMIFS(Staging!$H$4:$H$533,Staging!$B$4:$B$533,$B52,Staging!$D$4:$D$533,J$42)-SUMIFS(Budget!$D$4:$D$107,Budget!$B$4:$B$107,$B52,Budget!$C$4:$C$107,J$42)+(ROW()*20+COLUMN())/1000000</f>
        <v>0.00105</v>
      </c>
      <c r="K52" s="51" t="n">
        <f aca="false">SUMIFS(Staging!$H$4:$H$533,Staging!$B$4:$B$533,$B52,Staging!$D$4:$D$533,K$42)-SUMIFS(Budget!$D$4:$D$107,Budget!$B$4:$B$107,$B52,Budget!$C$4:$C$107,K$42)+(ROW()*20+COLUMN())/1000000</f>
        <v>0.001051</v>
      </c>
      <c r="L52" s="51" t="n">
        <f aca="false">SUMIFS(Staging!$H$4:$H$533,Staging!$B$4:$B$533,$B52,Staging!$D$4:$D$533,L$42)-SUMIFS(Budget!$D$4:$D$107,Budget!$B$4:$B$107,$B52,Budget!$C$4:$C$107,L$42)+(ROW()*20+COLUMN())/1000000</f>
        <v>69.7410519999998</v>
      </c>
      <c r="M52" s="51" t="n">
        <f aca="false">SUMIFS(Staging!$H$4:$H$533,Staging!$B$4:$B$533,$B52,Staging!$D$4:$D$533,M$42)-SUMIFS(Budget!$D$4:$D$107,Budget!$B$4:$B$107,$B52,Budget!$C$4:$C$107,M$42)+(ROW()*20+COLUMN())/1000000</f>
        <v>13.4310530000001</v>
      </c>
      <c r="N52" s="51" t="n">
        <f aca="false">SUMIFS(Staging!$H$4:$H$533,Staging!$B$4:$B$533,$B52,Staging!$D$4:$D$533,N$42)-SUMIFS(Budget!$D$4:$D$107,Budget!$B$4:$B$107,$B52,Budget!$C$4:$C$107,N$42)+(ROW()*20+COLUMN())/1000000</f>
        <v>-7099.998946</v>
      </c>
      <c r="O52" s="51" t="n">
        <f aca="false">SUMIFS(Staging!$H$4:$H$533,Staging!$B$4:$B$533,$B52,Staging!$D$4:$D$533,O$42)-SUMIFS(Budget!$D$4:$D$107,Budget!$B$4:$B$107,$B52,Budget!$C$4:$C$107,O$42)+(ROW()*20+COLUMN())/1000000</f>
        <v>0.001055</v>
      </c>
      <c r="P52" s="51" t="n">
        <f aca="false">SUMIFS(Staging!$H$4:$H$533,Staging!$B$4:$B$533,$B52,Staging!$D$4:$D$533,P$42)-SUMIFS(Budget!$D$4:$D$107,Budget!$B$4:$B$107,$B52,Budget!$C$4:$C$107,P$42)+(ROW()*20+COLUMN())/1000000</f>
        <v>-27.208944</v>
      </c>
      <c r="Q52" s="51" t="n">
        <f aca="false">SUMIFS(Staging!$H$4:$H$533,Staging!$B$4:$B$533,$B52,Staging!$D$4:$D$533,Q$42)-SUMIFS(Budget!$D$4:$D$107,Budget!$B$4:$B$107,$B52,Budget!$C$4:$C$107,Q$42)+(ROW()*20+COLUMN())/1000000</f>
        <v>0.001057</v>
      </c>
    </row>
    <row r="53" customFormat="false" ht="15" hidden="false" customHeight="false" outlineLevel="0" collapsed="false">
      <c r="B53" s="50" t="s">
        <v>155</v>
      </c>
      <c r="C53" s="51" t="n">
        <f aca="false">SUMIFS(Staging!$H$4:$H$533,Staging!$B$4:$B$533,$B53,Staging!$D$4:$D$533,C$42)-SUMIFS(Budget!$D$4:$D$107,Budget!$B$4:$B$107,$B53,Budget!$C$4:$C$107,C$42)+(ROW()*20+COLUMN())/1000000</f>
        <v>0.001063</v>
      </c>
      <c r="D53" s="51" t="n">
        <f aca="false">SUMIFS(Staging!$H$4:$H$533,Staging!$B$4:$B$533,$B53,Staging!$D$4:$D$533,D$42)-SUMIFS(Budget!$D$4:$D$107,Budget!$B$4:$B$107,$B53,Budget!$C$4:$C$107,D$42)+(ROW()*20+COLUMN())/1000000</f>
        <v>0.001064</v>
      </c>
      <c r="E53" s="51" t="n">
        <f aca="false">SUMIFS(Staging!$H$4:$H$533,Staging!$B$4:$B$533,$B53,Staging!$D$4:$D$533,E$42)-SUMIFS(Budget!$D$4:$D$107,Budget!$B$4:$B$107,$B53,Budget!$C$4:$C$107,E$42)+(ROW()*20+COLUMN())/1000000</f>
        <v>-656.098934999999</v>
      </c>
      <c r="F53" s="51" t="n">
        <f aca="false">SUMIFS(Staging!$H$4:$H$533,Staging!$B$4:$B$533,$B53,Staging!$D$4:$D$533,F$42)-SUMIFS(Budget!$D$4:$D$107,Budget!$B$4:$B$107,$B53,Budget!$C$4:$C$107,F$42)+(ROW()*20+COLUMN())/1000000</f>
        <v>42.1010660000004</v>
      </c>
      <c r="G53" s="51" t="n">
        <f aca="false">SUMIFS(Staging!$H$4:$H$533,Staging!$B$4:$B$533,$B53,Staging!$D$4:$D$533,G$42)-SUMIFS(Budget!$D$4:$D$107,Budget!$B$4:$B$107,$B53,Budget!$C$4:$C$107,G$42)+(ROW()*20+COLUMN())/1000000</f>
        <v>0.001067</v>
      </c>
      <c r="H53" s="51" t="n">
        <f aca="false">SUMIFS(Staging!$H$4:$H$533,Staging!$B$4:$B$533,$B53,Staging!$D$4:$D$533,H$42)-SUMIFS(Budget!$D$4:$D$107,Budget!$B$4:$B$107,$B53,Budget!$C$4:$C$107,H$42)+(ROW()*20+COLUMN())/1000000</f>
        <v>31.991068</v>
      </c>
      <c r="I53" s="51" t="n">
        <f aca="false">SUMIFS(Staging!$H$4:$H$533,Staging!$B$4:$B$533,$B53,Staging!$D$4:$D$533,I$42)-SUMIFS(Budget!$D$4:$D$107,Budget!$B$4:$B$107,$B53,Budget!$C$4:$C$107,I$42)+(ROW()*20+COLUMN())/1000000</f>
        <v>0.001069</v>
      </c>
      <c r="J53" s="51" t="n">
        <f aca="false">SUMIFS(Staging!$H$4:$H$533,Staging!$B$4:$B$533,$B53,Staging!$D$4:$D$533,J$42)-SUMIFS(Budget!$D$4:$D$107,Budget!$B$4:$B$107,$B53,Budget!$C$4:$C$107,J$42)+(ROW()*20+COLUMN())/1000000</f>
        <v>553.66107</v>
      </c>
      <c r="K53" s="51" t="n">
        <f aca="false">SUMIFS(Staging!$H$4:$H$533,Staging!$B$4:$B$533,$B53,Staging!$D$4:$D$533,K$42)-SUMIFS(Budget!$D$4:$D$107,Budget!$B$4:$B$107,$B53,Budget!$C$4:$C$107,K$42)+(ROW()*20+COLUMN())/1000000</f>
        <v>0.001071</v>
      </c>
      <c r="L53" s="51" t="n">
        <f aca="false">SUMIFS(Staging!$H$4:$H$533,Staging!$B$4:$B$533,$B53,Staging!$D$4:$D$533,L$42)-SUMIFS(Budget!$D$4:$D$107,Budget!$B$4:$B$107,$B53,Budget!$C$4:$C$107,L$42)+(ROW()*20+COLUMN())/1000000</f>
        <v>-163.358928</v>
      </c>
      <c r="M53" s="51" t="n">
        <f aca="false">SUMIFS(Staging!$H$4:$H$533,Staging!$B$4:$B$533,$B53,Staging!$D$4:$D$533,M$42)-SUMIFS(Budget!$D$4:$D$107,Budget!$B$4:$B$107,$B53,Budget!$C$4:$C$107,M$42)+(ROW()*20+COLUMN())/1000000</f>
        <v>12500.001073</v>
      </c>
      <c r="N53" s="51" t="n">
        <f aca="false">SUMIFS(Staging!$H$4:$H$533,Staging!$B$4:$B$533,$B53,Staging!$D$4:$D$533,N$42)-SUMIFS(Budget!$D$4:$D$107,Budget!$B$4:$B$107,$B53,Budget!$C$4:$C$107,N$42)+(ROW()*20+COLUMN())/1000000</f>
        <v>-4.41892599999996</v>
      </c>
      <c r="O53" s="51" t="n">
        <f aca="false">SUMIFS(Staging!$H$4:$H$533,Staging!$B$4:$B$533,$B53,Staging!$D$4:$D$533,O$42)-SUMIFS(Budget!$D$4:$D$107,Budget!$B$4:$B$107,$B53,Budget!$C$4:$C$107,O$42)+(ROW()*20+COLUMN())/1000000</f>
        <v>379.701075000001</v>
      </c>
      <c r="P53" s="51" t="n">
        <f aca="false">SUMIFS(Staging!$H$4:$H$533,Staging!$B$4:$B$533,$B53,Staging!$D$4:$D$533,P$42)-SUMIFS(Budget!$D$4:$D$107,Budget!$B$4:$B$107,$B53,Budget!$C$4:$C$107,P$42)+(ROW()*20+COLUMN())/1000000</f>
        <v>4.46107600000004</v>
      </c>
      <c r="Q53" s="51" t="n">
        <f aca="false">SUMIFS(Staging!$H$4:$H$533,Staging!$B$4:$B$533,$B53,Staging!$D$4:$D$533,Q$42)-SUMIFS(Budget!$D$4:$D$107,Budget!$B$4:$B$107,$B53,Budget!$C$4:$C$107,Q$42)+(ROW()*20+COLUMN())/1000000</f>
        <v>0.001077</v>
      </c>
    </row>
    <row r="54" customFormat="false" ht="15" hidden="false" customHeight="false" outlineLevel="0" collapsed="false">
      <c r="B54" s="50" t="s">
        <v>156</v>
      </c>
      <c r="C54" s="51" t="n">
        <f aca="false">SUMIFS(Staging!$H$4:$H$533,Staging!$B$4:$B$533,$B54,Staging!$D$4:$D$533,C$42)-SUMIFS(Budget!$D$4:$D$107,Budget!$B$4:$B$107,$B54,Budget!$C$4:$C$107,C$42)+(ROW()*20+COLUMN())/1000000</f>
        <v>0.001083</v>
      </c>
      <c r="D54" s="51" t="n">
        <f aca="false">SUMIFS(Staging!$H$4:$H$533,Staging!$B$4:$B$533,$B54,Staging!$D$4:$D$533,D$42)-SUMIFS(Budget!$D$4:$D$107,Budget!$B$4:$B$107,$B54,Budget!$C$4:$C$107,D$42)+(ROW()*20+COLUMN())/1000000</f>
        <v>0.001084</v>
      </c>
      <c r="E54" s="51" t="n">
        <f aca="false">SUMIFS(Staging!$H$4:$H$533,Staging!$B$4:$B$533,$B54,Staging!$D$4:$D$533,E$42)-SUMIFS(Budget!$D$4:$D$107,Budget!$B$4:$B$107,$B54,Budget!$C$4:$C$107,E$42)+(ROW()*20+COLUMN())/1000000</f>
        <v>10019.721085</v>
      </c>
      <c r="F54" s="51" t="n">
        <f aca="false">SUMIFS(Staging!$H$4:$H$533,Staging!$B$4:$B$533,$B54,Staging!$D$4:$D$533,F$42)-SUMIFS(Budget!$D$4:$D$107,Budget!$B$4:$B$107,$B54,Budget!$C$4:$C$107,F$42)+(ROW()*20+COLUMN())/1000000</f>
        <v>3856.671086</v>
      </c>
      <c r="G54" s="51" t="n">
        <f aca="false">SUMIFS(Staging!$H$4:$H$533,Staging!$B$4:$B$533,$B54,Staging!$D$4:$D$533,G$42)-SUMIFS(Budget!$D$4:$D$107,Budget!$B$4:$B$107,$B54,Budget!$C$4:$C$107,G$42)+(ROW()*20+COLUMN())/1000000</f>
        <v>0.001087</v>
      </c>
      <c r="H54" s="51" t="n">
        <f aca="false">SUMIFS(Staging!$H$4:$H$533,Staging!$B$4:$B$533,$B54,Staging!$D$4:$D$533,H$42)-SUMIFS(Budget!$D$4:$D$107,Budget!$B$4:$B$107,$B54,Budget!$C$4:$C$107,H$42)+(ROW()*20+COLUMN())/1000000</f>
        <v>4661.351088</v>
      </c>
      <c r="I54" s="51" t="n">
        <f aca="false">SUMIFS(Staging!$H$4:$H$533,Staging!$B$4:$B$533,$B54,Staging!$D$4:$D$533,I$42)-SUMIFS(Budget!$D$4:$D$107,Budget!$B$4:$B$107,$B54,Budget!$C$4:$C$107,I$42)+(ROW()*20+COLUMN())/1000000</f>
        <v>0.001089</v>
      </c>
      <c r="J54" s="51" t="n">
        <f aca="false">SUMIFS(Staging!$H$4:$H$533,Staging!$B$4:$B$533,$B54,Staging!$D$4:$D$533,J$42)-SUMIFS(Budget!$D$4:$D$107,Budget!$B$4:$B$107,$B54,Budget!$C$4:$C$107,J$42)+(ROW()*20+COLUMN())/1000000</f>
        <v>0.00109</v>
      </c>
      <c r="K54" s="51" t="n">
        <f aca="false">SUMIFS(Staging!$H$4:$H$533,Staging!$B$4:$B$533,$B54,Staging!$D$4:$D$533,K$42)-SUMIFS(Budget!$D$4:$D$107,Budget!$B$4:$B$107,$B54,Budget!$C$4:$C$107,K$42)+(ROW()*20+COLUMN())/1000000</f>
        <v>0.001091</v>
      </c>
      <c r="L54" s="51" t="n">
        <f aca="false">SUMIFS(Staging!$H$4:$H$533,Staging!$B$4:$B$533,$B54,Staging!$D$4:$D$533,L$42)-SUMIFS(Budget!$D$4:$D$107,Budget!$B$4:$B$107,$B54,Budget!$C$4:$C$107,L$42)+(ROW()*20+COLUMN())/1000000</f>
        <v>907.441092</v>
      </c>
      <c r="M54" s="51" t="n">
        <f aca="false">SUMIFS(Staging!$H$4:$H$533,Staging!$B$4:$B$533,$B54,Staging!$D$4:$D$533,M$42)-SUMIFS(Budget!$D$4:$D$107,Budget!$B$4:$B$107,$B54,Budget!$C$4:$C$107,M$42)+(ROW()*20+COLUMN())/1000000</f>
        <v>825.441093</v>
      </c>
      <c r="N54" s="51" t="n">
        <f aca="false">SUMIFS(Staging!$H$4:$H$533,Staging!$B$4:$B$533,$B54,Staging!$D$4:$D$533,N$42)-SUMIFS(Budget!$D$4:$D$107,Budget!$B$4:$B$107,$B54,Budget!$C$4:$C$107,N$42)+(ROW()*20+COLUMN())/1000000</f>
        <v>590.681094</v>
      </c>
      <c r="O54" s="51" t="n">
        <f aca="false">SUMIFS(Staging!$H$4:$H$533,Staging!$B$4:$B$533,$B54,Staging!$D$4:$D$533,O$42)-SUMIFS(Budget!$D$4:$D$107,Budget!$B$4:$B$107,$B54,Budget!$C$4:$C$107,O$42)+(ROW()*20+COLUMN())/1000000</f>
        <v>0.001095</v>
      </c>
      <c r="P54" s="51" t="n">
        <f aca="false">SUMIFS(Staging!$H$4:$H$533,Staging!$B$4:$B$533,$B54,Staging!$D$4:$D$533,P$42)-SUMIFS(Budget!$D$4:$D$107,Budget!$B$4:$B$107,$B54,Budget!$C$4:$C$107,P$42)+(ROW()*20+COLUMN())/1000000</f>
        <v>398.581096</v>
      </c>
      <c r="Q54" s="51" t="n">
        <f aca="false">SUMIFS(Staging!$H$4:$H$533,Staging!$B$4:$B$533,$B54,Staging!$D$4:$D$533,Q$42)-SUMIFS(Budget!$D$4:$D$107,Budget!$B$4:$B$107,$B54,Budget!$C$4:$C$107,Q$42)+(ROW()*20+COLUMN())/1000000</f>
        <v>0.001097</v>
      </c>
    </row>
    <row r="55" customFormat="false" ht="15" hidden="false" customHeight="false" outlineLevel="0" collapsed="false">
      <c r="B55" s="50" t="s">
        <v>157</v>
      </c>
      <c r="C55" s="51" t="n">
        <f aca="false">SUMIFS(Staging!$H$4:$H$533,Staging!$B$4:$B$533,$B55,Staging!$D$4:$D$533,C$42)-SUMIFS(Budget!$D$4:$D$107,Budget!$B$4:$B$107,$B55,Budget!$C$4:$C$107,C$42)+(ROW()*20+COLUMN())/1000000</f>
        <v>0.001103</v>
      </c>
      <c r="D55" s="51" t="n">
        <f aca="false">SUMIFS(Staging!$H$4:$H$533,Staging!$B$4:$B$533,$B55,Staging!$D$4:$D$533,D$42)-SUMIFS(Budget!$D$4:$D$107,Budget!$B$4:$B$107,$B55,Budget!$C$4:$C$107,D$42)+(ROW()*20+COLUMN())/1000000</f>
        <v>0.001104</v>
      </c>
      <c r="E55" s="51" t="n">
        <f aca="false">SUMIFS(Staging!$H$4:$H$533,Staging!$B$4:$B$533,$B55,Staging!$D$4:$D$533,E$42)-SUMIFS(Budget!$D$4:$D$107,Budget!$B$4:$B$107,$B55,Budget!$C$4:$C$107,E$42)+(ROW()*20+COLUMN())/1000000</f>
        <v>0.001105</v>
      </c>
      <c r="F55" s="51" t="n">
        <f aca="false">SUMIFS(Staging!$H$4:$H$533,Staging!$B$4:$B$533,$B55,Staging!$D$4:$D$533,F$42)-SUMIFS(Budget!$D$4:$D$107,Budget!$B$4:$B$107,$B55,Budget!$C$4:$C$107,F$42)+(ROW()*20+COLUMN())/1000000</f>
        <v>0.001106</v>
      </c>
      <c r="G55" s="51" t="n">
        <f aca="false">SUMIFS(Staging!$H$4:$H$533,Staging!$B$4:$B$533,$B55,Staging!$D$4:$D$533,G$42)-SUMIFS(Budget!$D$4:$D$107,Budget!$B$4:$B$107,$B55,Budget!$C$4:$C$107,G$42)+(ROW()*20+COLUMN())/1000000</f>
        <v>0.001107</v>
      </c>
      <c r="H55" s="51" t="n">
        <f aca="false">SUMIFS(Staging!$H$4:$H$533,Staging!$B$4:$B$533,$B55,Staging!$D$4:$D$533,H$42)-SUMIFS(Budget!$D$4:$D$107,Budget!$B$4:$B$107,$B55,Budget!$C$4:$C$107,H$42)+(ROW()*20+COLUMN())/1000000</f>
        <v>0.001108</v>
      </c>
      <c r="I55" s="51" t="n">
        <f aca="false">SUMIFS(Staging!$H$4:$H$533,Staging!$B$4:$B$533,$B55,Staging!$D$4:$D$533,I$42)-SUMIFS(Budget!$D$4:$D$107,Budget!$B$4:$B$107,$B55,Budget!$C$4:$C$107,I$42)+(ROW()*20+COLUMN())/1000000</f>
        <v>0.001109</v>
      </c>
      <c r="J55" s="51" t="n">
        <f aca="false">SUMIFS(Staging!$H$4:$H$533,Staging!$B$4:$B$533,$B55,Staging!$D$4:$D$533,J$42)-SUMIFS(Budget!$D$4:$D$107,Budget!$B$4:$B$107,$B55,Budget!$C$4:$C$107,J$42)+(ROW()*20+COLUMN())/1000000</f>
        <v>0.00111</v>
      </c>
      <c r="K55" s="51" t="n">
        <f aca="false">SUMIFS(Staging!$H$4:$H$533,Staging!$B$4:$B$533,$B55,Staging!$D$4:$D$533,K$42)-SUMIFS(Budget!$D$4:$D$107,Budget!$B$4:$B$107,$B55,Budget!$C$4:$C$107,K$42)+(ROW()*20+COLUMN())/1000000</f>
        <v>0.001111</v>
      </c>
      <c r="L55" s="51" t="n">
        <f aca="false">SUMIFS(Staging!$H$4:$H$533,Staging!$B$4:$B$533,$B55,Staging!$D$4:$D$533,L$42)-SUMIFS(Budget!$D$4:$D$107,Budget!$B$4:$B$107,$B55,Budget!$C$4:$C$107,L$42)+(ROW()*20+COLUMN())/1000000</f>
        <v>2150.001112</v>
      </c>
      <c r="M55" s="51" t="n">
        <f aca="false">SUMIFS(Staging!$H$4:$H$533,Staging!$B$4:$B$533,$B55,Staging!$D$4:$D$533,M$42)-SUMIFS(Budget!$D$4:$D$107,Budget!$B$4:$B$107,$B55,Budget!$C$4:$C$107,M$42)+(ROW()*20+COLUMN())/1000000</f>
        <v>0.001113</v>
      </c>
      <c r="N55" s="51" t="n">
        <f aca="false">SUMIFS(Staging!$H$4:$H$533,Staging!$B$4:$B$533,$B55,Staging!$D$4:$D$533,N$42)-SUMIFS(Budget!$D$4:$D$107,Budget!$B$4:$B$107,$B55,Budget!$C$4:$C$107,N$42)+(ROW()*20+COLUMN())/1000000</f>
        <v>0.001114</v>
      </c>
      <c r="O55" s="51" t="n">
        <f aca="false">SUMIFS(Staging!$H$4:$H$533,Staging!$B$4:$B$533,$B55,Staging!$D$4:$D$533,O$42)-SUMIFS(Budget!$D$4:$D$107,Budget!$B$4:$B$107,$B55,Budget!$C$4:$C$107,O$42)+(ROW()*20+COLUMN())/1000000</f>
        <v>0.001115</v>
      </c>
      <c r="P55" s="51" t="n">
        <f aca="false">SUMIFS(Staging!$H$4:$H$533,Staging!$B$4:$B$533,$B55,Staging!$D$4:$D$533,P$42)-SUMIFS(Budget!$D$4:$D$107,Budget!$B$4:$B$107,$B55,Budget!$C$4:$C$107,P$42)+(ROW()*20+COLUMN())/1000000</f>
        <v>0.001116</v>
      </c>
      <c r="Q55" s="51" t="n">
        <f aca="false">SUMIFS(Staging!$H$4:$H$533,Staging!$B$4:$B$533,$B55,Staging!$D$4:$D$533,Q$42)-SUMIFS(Budget!$D$4:$D$107,Budget!$B$4:$B$107,$B55,Budget!$C$4:$C$107,Q$42)+(ROW()*20+COLUMN())/1000000</f>
        <v>0.001117</v>
      </c>
    </row>
    <row r="56" customFormat="false" ht="15" hidden="false" customHeight="false" outlineLevel="0" collapsed="false">
      <c r="B56" s="52" t="s">
        <v>158</v>
      </c>
      <c r="C56" s="52"/>
      <c r="D56" s="52"/>
      <c r="E56" s="52"/>
      <c r="F56" s="52"/>
      <c r="G56" s="52"/>
      <c r="H56" s="52"/>
      <c r="I56" s="52"/>
      <c r="J56" s="52"/>
      <c r="K56" s="52"/>
      <c r="L56" s="52"/>
      <c r="M56" s="52"/>
      <c r="N56" s="52"/>
      <c r="O56" s="52"/>
      <c r="P56" s="52"/>
      <c r="Q56" s="52"/>
    </row>
    <row r="58" customFormat="false" ht="16.5" hidden="false" customHeight="true" outlineLevel="0" collapsed="false">
      <c r="A58" s="9" t="s">
        <v>159</v>
      </c>
      <c r="B58" s="9"/>
      <c r="C58" s="9"/>
      <c r="D58" s="9"/>
      <c r="E58" s="9"/>
      <c r="F58" s="9"/>
      <c r="G58" s="9"/>
      <c r="H58" s="9"/>
      <c r="I58" s="9"/>
      <c r="J58" s="9"/>
      <c r="K58" s="9"/>
      <c r="L58" s="9"/>
    </row>
    <row r="59" customFormat="false" ht="19.5" hidden="false" customHeight="true" outlineLevel="0" collapsed="false">
      <c r="B59" s="11" t="s">
        <v>102</v>
      </c>
      <c r="C59" s="11" t="s">
        <v>127</v>
      </c>
      <c r="D59" s="11" t="s">
        <v>105</v>
      </c>
      <c r="E59" s="11" t="s">
        <v>103</v>
      </c>
      <c r="F59" s="11" t="s">
        <v>104</v>
      </c>
      <c r="G59" s="11" t="s">
        <v>128</v>
      </c>
      <c r="H59" s="11"/>
      <c r="I59" s="11"/>
      <c r="J59" s="11"/>
      <c r="K59" s="11"/>
      <c r="L59" s="11" t="s">
        <v>160</v>
      </c>
    </row>
    <row r="60" customFormat="false" ht="15" hidden="false" customHeight="false" outlineLevel="0" collapsed="false">
      <c r="A60" s="53" t="n">
        <v>1</v>
      </c>
      <c r="B60" s="34" t="str">
        <f aca="false">INDEX($C$42:$Q$42,SUMPRODUCT(($C$43:$Q$55=$D60)*(COLUMN($C$43:$Q$55)-2)))</f>
        <v>Agency &amp; temporary labour</v>
      </c>
      <c r="C60" s="54" t="str">
        <f aca="false">INDEX($B$43:$B$55,SUMPRODUCT(($C$43:$Q$55=$D60)*(ROW($C$43:$Q$55)-42)))</f>
        <v>4120</v>
      </c>
      <c r="D60" s="55" t="n">
        <f aca="false">LARGE($C$43:$Q$55,1)</f>
        <v>25900.000887</v>
      </c>
      <c r="E60" s="35" t="n">
        <f aca="false">SUMIFS(Staging!$H$4:$H$533,Staging!$B$4:$B$533,$C60,Staging!$D$4:$D$533,$B60)</f>
        <v>43900</v>
      </c>
      <c r="F60" s="35" t="n">
        <f aca="false">SUMIFS(Budget!$D$4:$D$107,Budget!$B$4:$B$107,$C60,Budget!$C$4:$C$107,$B60)</f>
        <v>18000</v>
      </c>
      <c r="G60" s="46" t="str">
        <f aca="false">IFERROR(INDEX(Mapping!$H$7:$H$18,MATCH($C60,Mapping!$F$7:$F$18,0)),"-")</f>
        <v>G. Nagy</v>
      </c>
      <c r="H60" s="46"/>
      <c r="I60" s="46"/>
      <c r="J60" s="46"/>
      <c r="K60" s="46"/>
      <c r="L60" s="56" t="str">
        <f aca="false">IF($D60&gt;5000,"yes","")</f>
        <v>yes</v>
      </c>
    </row>
    <row r="61" customFormat="false" ht="15" hidden="false" customHeight="false" outlineLevel="0" collapsed="false">
      <c r="A61" s="53" t="n">
        <v>2</v>
      </c>
      <c r="B61" s="34" t="str">
        <f aca="false">INDEX($C$42:$Q$42,SUMPRODUCT(($C$43:$Q$55=$D61)*(COLUMN($C$43:$Q$55)-2)))</f>
        <v>Repairs &amp; maintenance</v>
      </c>
      <c r="C61" s="54" t="str">
        <f aca="false">INDEX($B$43:$B$55,SUMPRODUCT(($C$43:$Q$55=$D61)*(ROW($C$43:$Q$55)-42)))</f>
        <v>4220</v>
      </c>
      <c r="D61" s="55" t="n">
        <f aca="false">LARGE($C$43:$Q$55,2)</f>
        <v>21400.000969</v>
      </c>
      <c r="E61" s="35" t="n">
        <f aca="false">SUMIFS(Staging!$H$4:$H$533,Staging!$B$4:$B$533,$C61,Staging!$D$4:$D$533,$B61)</f>
        <v>52400</v>
      </c>
      <c r="F61" s="35" t="n">
        <f aca="false">SUMIFS(Budget!$D$4:$D$107,Budget!$B$4:$B$107,$C61,Budget!$C$4:$C$107,$B61)</f>
        <v>31000</v>
      </c>
      <c r="G61" s="46" t="str">
        <f aca="false">IFERROR(INDEX(Mapping!$H$7:$H$18,MATCH($C61,Mapping!$F$7:$F$18,0)),"-")</f>
        <v>L. Toth</v>
      </c>
      <c r="H61" s="46"/>
      <c r="I61" s="46"/>
      <c r="J61" s="46"/>
      <c r="K61" s="46"/>
      <c r="L61" s="56" t="str">
        <f aca="false">IF($D61&gt;5000,"yes","")</f>
        <v>yes</v>
      </c>
    </row>
    <row r="62" customFormat="false" ht="15" hidden="false" customHeight="false" outlineLevel="0" collapsed="false">
      <c r="A62" s="53" t="n">
        <v>3</v>
      </c>
      <c r="B62" s="34" t="str">
        <f aca="false">INDEX($C$42:$Q$42,SUMPRODUCT(($C$43:$Q$55=$D62)*(COLUMN($C$43:$Q$55)-2)))</f>
        <v>Professional fees</v>
      </c>
      <c r="C62" s="54" t="str">
        <f aca="false">INDEX($B$43:$B$55,SUMPRODUCT(($C$43:$Q$55=$D62)*(ROW($C$43:$Q$55)-42)))</f>
        <v>6110</v>
      </c>
      <c r="D62" s="55" t="n">
        <f aca="false">LARGE($C$43:$Q$55,3)</f>
        <v>12500.001073</v>
      </c>
      <c r="E62" s="35" t="n">
        <f aca="false">SUMIFS(Staging!$H$4:$H$533,Staging!$B$4:$B$533,$C62,Staging!$D$4:$D$533,$B62)</f>
        <v>21500</v>
      </c>
      <c r="F62" s="35" t="n">
        <f aca="false">SUMIFS(Budget!$D$4:$D$107,Budget!$B$4:$B$107,$C62,Budget!$C$4:$C$107,$B62)</f>
        <v>9000</v>
      </c>
      <c r="G62" s="46" t="str">
        <f aca="false">IFERROR(INDEX(Mapping!$H$7:$H$18,MATCH($C62,Mapping!$F$7:$F$18,0)),"-")</f>
        <v>T. Charkasov</v>
      </c>
      <c r="H62" s="46"/>
      <c r="I62" s="46"/>
      <c r="J62" s="46"/>
      <c r="K62" s="46"/>
      <c r="L62" s="56" t="str">
        <f aca="false">IF($D62&gt;5000,"yes","")</f>
        <v>yes</v>
      </c>
    </row>
    <row r="63" customFormat="false" ht="15" hidden="false" customHeight="false" outlineLevel="0" collapsed="false">
      <c r="A63" s="53" t="n">
        <v>4</v>
      </c>
      <c r="B63" s="34" t="str">
        <f aca="false">INDEX($C$42:$Q$42,SUMPRODUCT(($C$43:$Q$55=$D63)*(COLUMN($C$43:$Q$55)-2)))</f>
        <v>Wages &amp; salaries</v>
      </c>
      <c r="C63" s="54" t="str">
        <f aca="false">INDEX($B$43:$B$55,SUMPRODUCT(($C$43:$Q$55=$D63)*(ROW($C$43:$Q$55)-42)))</f>
        <v>6120</v>
      </c>
      <c r="D63" s="55" t="n">
        <f aca="false">LARGE($C$43:$Q$55,4)</f>
        <v>10019.721085</v>
      </c>
      <c r="E63" s="35" t="n">
        <f aca="false">SUMIFS(Staging!$H$4:$H$533,Staging!$B$4:$B$533,$C63,Staging!$D$4:$D$533,$B63)</f>
        <v>10019.72</v>
      </c>
      <c r="F63" s="35" t="n">
        <f aca="false">SUMIFS(Budget!$D$4:$D$107,Budget!$B$4:$B$107,$C63,Budget!$C$4:$C$107,$B63)</f>
        <v>0</v>
      </c>
      <c r="G63" s="46" t="str">
        <f aca="false">IFERROR(INDEX(Mapping!$H$7:$H$18,MATCH($C63,Mapping!$F$7:$F$18,0)),"-")</f>
        <v>K. Molnar</v>
      </c>
      <c r="H63" s="46"/>
      <c r="I63" s="46"/>
      <c r="J63" s="46"/>
      <c r="K63" s="46"/>
      <c r="L63" s="56" t="str">
        <f aca="false">IF($D63&gt;5000,"yes","")</f>
        <v>yes</v>
      </c>
    </row>
    <row r="64" customFormat="false" ht="15" hidden="false" customHeight="false" outlineLevel="0" collapsed="false">
      <c r="A64" s="53" t="n">
        <v>5</v>
      </c>
      <c r="B64" s="34" t="str">
        <f aca="false">INDEX($C$42:$Q$42,SUMPRODUCT(($C$43:$Q$55=$D64)*(COLUMN($C$43:$Q$55)-2)))</f>
        <v>Energy</v>
      </c>
      <c r="C64" s="54" t="str">
        <f aca="false">INDEX($B$43:$B$55,SUMPRODUCT(($C$43:$Q$55=$D64)*(ROW($C$43:$Q$55)-42)))</f>
        <v>4110</v>
      </c>
      <c r="D64" s="55" t="n">
        <f aca="false">LARGE($C$43:$Q$55,5)</f>
        <v>6560.000864</v>
      </c>
      <c r="E64" s="35" t="n">
        <f aca="false">SUMIFS(Staging!$H$4:$H$533,Staging!$B$4:$B$533,$C64,Staging!$D$4:$D$533,$B64)</f>
        <v>52560</v>
      </c>
      <c r="F64" s="35" t="n">
        <f aca="false">SUMIFS(Budget!$D$4:$D$107,Budget!$B$4:$B$107,$C64,Budget!$C$4:$C$107,$B64)</f>
        <v>46000</v>
      </c>
      <c r="G64" s="46" t="str">
        <f aca="false">IFERROR(INDEX(Mapping!$H$7:$H$18,MATCH($C64,Mapping!$F$7:$F$18,0)),"-")</f>
        <v>G. Nagy</v>
      </c>
      <c r="H64" s="46"/>
      <c r="I64" s="46"/>
      <c r="J64" s="46"/>
      <c r="K64" s="46"/>
      <c r="L64" s="56" t="str">
        <f aca="false">IF($D64&gt;5000,"yes","")</f>
        <v>yes</v>
      </c>
    </row>
    <row r="65" customFormat="false" ht="15" hidden="false" customHeight="false" outlineLevel="0" collapsed="false">
      <c r="A65" s="53" t="n">
        <v>6</v>
      </c>
      <c r="B65" s="34" t="str">
        <f aca="false">INDEX($C$42:$Q$42,SUMPRODUCT(($C$43:$Q$55=$D65)*(COLUMN($C$43:$Q$55)-2)))</f>
        <v>UNMAPPED</v>
      </c>
      <c r="C65" s="54" t="str">
        <f aca="false">INDEX($B$43:$B$55,SUMPRODUCT(($C$43:$Q$55=$D65)*(ROW($C$43:$Q$55)-42)))</f>
        <v>4310</v>
      </c>
      <c r="D65" s="55" t="n">
        <f aca="false">LARGE($C$43:$Q$55,6)</f>
        <v>4855.500997</v>
      </c>
      <c r="E65" s="35" t="n">
        <f aca="false">SUMIFS(Staging!$H$4:$H$533,Staging!$B$4:$B$533,$C65,Staging!$D$4:$D$533,$B65)</f>
        <v>4855.5</v>
      </c>
      <c r="F65" s="35" t="n">
        <f aca="false">SUMIFS(Budget!$D$4:$D$107,Budget!$B$4:$B$107,$C65,Budget!$C$4:$C$107,$B65)</f>
        <v>0</v>
      </c>
      <c r="G65" s="46" t="str">
        <f aca="false">IFERROR(INDEX(Mapping!$H$7:$H$18,MATCH($C65,Mapping!$F$7:$F$18,0)),"-")</f>
        <v>M. Varga</v>
      </c>
      <c r="H65" s="46"/>
      <c r="I65" s="46"/>
      <c r="J65" s="46"/>
      <c r="K65" s="46"/>
      <c r="L65" s="56" t="str">
        <f aca="false">IF($D65&gt;5000,"yes","")</f>
        <v/>
      </c>
    </row>
    <row r="66" customFormat="false" ht="15" hidden="false" customHeight="false" outlineLevel="0" collapsed="false">
      <c r="A66" s="53" t="n">
        <v>7</v>
      </c>
      <c r="B66" s="34" t="str">
        <f aca="false">INDEX($C$42:$Q$42,SUMPRODUCT(($C$43:$Q$55=$D66)*(COLUMN($C$43:$Q$55)-2)))</f>
        <v>Training &amp; recruitment</v>
      </c>
      <c r="C66" s="54" t="str">
        <f aca="false">INDEX($B$43:$B$55,SUMPRODUCT(($C$43:$Q$55=$D66)*(ROW($C$43:$Q$55)-42)))</f>
        <v>6120</v>
      </c>
      <c r="D66" s="55" t="n">
        <f aca="false">LARGE($C$43:$Q$55,7)</f>
        <v>4661.351088</v>
      </c>
      <c r="E66" s="35" t="n">
        <f aca="false">SUMIFS(Staging!$H$4:$H$533,Staging!$B$4:$B$533,$C66,Staging!$D$4:$D$533,$B66)</f>
        <v>4661.35</v>
      </c>
      <c r="F66" s="35" t="n">
        <f aca="false">SUMIFS(Budget!$D$4:$D$107,Budget!$B$4:$B$107,$C66,Budget!$C$4:$C$107,$B66)</f>
        <v>0</v>
      </c>
      <c r="G66" s="46" t="str">
        <f aca="false">IFERROR(INDEX(Mapping!$H$7:$H$18,MATCH($C66,Mapping!$F$7:$F$18,0)),"-")</f>
        <v>K. Molnar</v>
      </c>
      <c r="H66" s="46"/>
      <c r="I66" s="46"/>
      <c r="J66" s="46"/>
      <c r="K66" s="46"/>
      <c r="L66" s="56" t="str">
        <f aca="false">IF($D66&gt;5000,"yes","")</f>
        <v/>
      </c>
    </row>
    <row r="67" customFormat="false" ht="15" hidden="false" customHeight="false" outlineLevel="0" collapsed="false">
      <c r="A67" s="53" t="n">
        <v>8</v>
      </c>
      <c r="B67" s="34" t="str">
        <f aca="false">INDEX($C$42:$Q$42,SUMPRODUCT(($C$43:$Q$55=$D67)*(COLUMN($C$43:$Q$55)-2)))</f>
        <v>Social contributions</v>
      </c>
      <c r="C67" s="54" t="str">
        <f aca="false">INDEX($B$43:$B$55,SUMPRODUCT(($C$43:$Q$55=$D67)*(ROW($C$43:$Q$55)-42)))</f>
        <v>6120</v>
      </c>
      <c r="D67" s="55" t="n">
        <f aca="false">LARGE($C$43:$Q$55,8)</f>
        <v>3856.671086</v>
      </c>
      <c r="E67" s="35" t="n">
        <f aca="false">SUMIFS(Staging!$H$4:$H$533,Staging!$B$4:$B$533,$C67,Staging!$D$4:$D$533,$B67)</f>
        <v>3856.67</v>
      </c>
      <c r="F67" s="35" t="n">
        <f aca="false">SUMIFS(Budget!$D$4:$D$107,Budget!$B$4:$B$107,$C67,Budget!$C$4:$C$107,$B67)</f>
        <v>0</v>
      </c>
      <c r="G67" s="46" t="str">
        <f aca="false">IFERROR(INDEX(Mapping!$H$7:$H$18,MATCH($C67,Mapping!$F$7:$F$18,0)),"-")</f>
        <v>K. Molnar</v>
      </c>
      <c r="H67" s="46"/>
      <c r="I67" s="46"/>
      <c r="J67" s="46"/>
      <c r="K67" s="46"/>
      <c r="L67" s="56" t="str">
        <f aca="false">IF($D67&gt;5000,"yes","")</f>
        <v/>
      </c>
    </row>
    <row r="68" customFormat="false" ht="15" hidden="false" customHeight="false" outlineLevel="0" collapsed="false">
      <c r="A68" s="53" t="n">
        <v>9</v>
      </c>
      <c r="B68" s="34" t="str">
        <f aca="false">INDEX($C$42:$Q$42,SUMPRODUCT(($C$43:$Q$55=$D68)*(COLUMN($C$43:$Q$55)-2)))</f>
        <v>IT &amp; communication</v>
      </c>
      <c r="C68" s="54" t="str">
        <f aca="false">INDEX($B$43:$B$55,SUMPRODUCT(($C$43:$Q$55=$D68)*(ROW($C$43:$Q$55)-42)))</f>
        <v>UNASSIGNED</v>
      </c>
      <c r="D68" s="55" t="n">
        <f aca="false">LARGE($C$43:$Q$55,9)</f>
        <v>2150.001112</v>
      </c>
      <c r="E68" s="35" t="n">
        <f aca="false">SUMIFS(Staging!$H$4:$H$533,Staging!$B$4:$B$533,$C68,Staging!$D$4:$D$533,$B68)</f>
        <v>2150</v>
      </c>
      <c r="F68" s="35" t="n">
        <f aca="false">SUMIFS(Budget!$D$4:$D$107,Budget!$B$4:$B$107,$C68,Budget!$C$4:$C$107,$B68)</f>
        <v>0</v>
      </c>
      <c r="G68" s="46" t="str">
        <f aca="false">IFERROR(INDEX(Mapping!$H$7:$H$18,MATCH($C68,Mapping!$F$7:$F$18,0)),"-")</f>
        <v>-</v>
      </c>
      <c r="H68" s="46"/>
      <c r="I68" s="46"/>
      <c r="J68" s="46"/>
      <c r="K68" s="46"/>
      <c r="L68" s="56" t="str">
        <f aca="false">IF($D68&gt;5000,"yes","")</f>
        <v/>
      </c>
    </row>
    <row r="69" customFormat="false" ht="15" hidden="false" customHeight="false" outlineLevel="0" collapsed="false">
      <c r="A69" s="53" t="n">
        <v>10</v>
      </c>
      <c r="B69" s="34" t="str">
        <f aca="false">INDEX($C$42:$Q$42,SUMPRODUCT(($C$43:$Q$55=$D69)*(COLUMN($C$43:$Q$55)-2)))</f>
        <v>Wages &amp; salaries</v>
      </c>
      <c r="C69" s="54" t="str">
        <f aca="false">INDEX($B$43:$B$55,SUMPRODUCT(($C$43:$Q$55=$D69)*(ROW($C$43:$Q$55)-42)))</f>
        <v>4110</v>
      </c>
      <c r="D69" s="55" t="n">
        <f aca="false">LARGE($C$43:$Q$55,10)</f>
        <v>1935.700865</v>
      </c>
      <c r="E69" s="35" t="n">
        <f aca="false">SUMIFS(Staging!$H$4:$H$533,Staging!$B$4:$B$533,$C69,Staging!$D$4:$D$533,$B69)</f>
        <v>59935.7</v>
      </c>
      <c r="F69" s="35" t="n">
        <f aca="false">SUMIFS(Budget!$D$4:$D$107,Budget!$B$4:$B$107,$C69,Budget!$C$4:$C$107,$B69)</f>
        <v>58000</v>
      </c>
      <c r="G69" s="46" t="str">
        <f aca="false">IFERROR(INDEX(Mapping!$H$7:$H$18,MATCH($C69,Mapping!$F$7:$F$18,0)),"-")</f>
        <v>G. Nagy</v>
      </c>
      <c r="H69" s="46"/>
      <c r="I69" s="46"/>
      <c r="J69" s="46"/>
      <c r="K69" s="46"/>
      <c r="L69" s="56" t="str">
        <f aca="false">IF($D69&gt;5000,"yes","")</f>
        <v/>
      </c>
    </row>
    <row r="70" customFormat="false" ht="15" hidden="false" customHeight="false" outlineLevel="0" collapsed="false">
      <c r="B70" s="57" t="s">
        <v>161</v>
      </c>
      <c r="D70" s="58" t="n">
        <f aca="false">SUM(D60:D69)</f>
        <v>93838.950026</v>
      </c>
      <c r="E70" s="59" t="n">
        <f aca="false">IFERROR(D70/$E$21,"")</f>
        <v>1.06592557686598</v>
      </c>
      <c r="G70" s="60" t="s">
        <v>162</v>
      </c>
      <c r="H70" s="60"/>
      <c r="I70" s="60"/>
      <c r="J70" s="60"/>
      <c r="K70" s="60"/>
      <c r="L70" s="60"/>
    </row>
  </sheetData>
  <mergeCells count="32">
    <mergeCell ref="A1:Q1"/>
    <mergeCell ref="A2:Q2"/>
    <mergeCell ref="A4:H4"/>
    <mergeCell ref="A24:K24"/>
    <mergeCell ref="G26:I26"/>
    <mergeCell ref="G27:I27"/>
    <mergeCell ref="G28:I28"/>
    <mergeCell ref="G29:I29"/>
    <mergeCell ref="G30:I30"/>
    <mergeCell ref="G31:I31"/>
    <mergeCell ref="G32:I32"/>
    <mergeCell ref="G33:I33"/>
    <mergeCell ref="G34:I34"/>
    <mergeCell ref="G35:I35"/>
    <mergeCell ref="G36:I36"/>
    <mergeCell ref="G37:I37"/>
    <mergeCell ref="G38:I38"/>
    <mergeCell ref="G39:I39"/>
    <mergeCell ref="A41:Q41"/>
    <mergeCell ref="B56:Q56"/>
    <mergeCell ref="A58:L58"/>
    <mergeCell ref="G60:K60"/>
    <mergeCell ref="G61:K61"/>
    <mergeCell ref="G62:K62"/>
    <mergeCell ref="G63:K63"/>
    <mergeCell ref="G64:K64"/>
    <mergeCell ref="G65:K65"/>
    <mergeCell ref="G66:K66"/>
    <mergeCell ref="G67:K67"/>
    <mergeCell ref="G68:K68"/>
    <mergeCell ref="G69:K69"/>
    <mergeCell ref="G70:L70"/>
  </mergeCells>
  <conditionalFormatting sqref="J26:J38">
    <cfRule type="expression" priority="2" aboveAverage="0" equalAverage="0" bottom="0" percent="0" rank="0" text="" dxfId="0">
      <formula>$J26&lt;&gt;""</formula>
    </cfRule>
  </conditionalFormatting>
  <conditionalFormatting sqref="C43:Q55">
    <cfRule type="expression" priority="3" aboveAverage="0" equalAverage="0" bottom="0" percent="0" rank="0" text="" dxfId="1">
      <formula>C43&gt;2000</formula>
    </cfRule>
    <cfRule type="expression" priority="4" aboveAverage="0" equalAverage="0" bottom="0" percent="0" rank="0" text="" dxfId="2">
      <formula>C43&lt;-2000</formula>
    </cfRule>
  </conditionalFormatting>
  <printOptions headings="false" gridLines="false" gridLinesSet="true" horizontalCentered="false" verticalCentered="false"/>
  <pageMargins left="0.3" right="0.3" top="1" bottom="1" header="0.5" footer="0.5"/>
  <pageSetup paperSize="9" scale="100" fitToWidth="1" fitToHeight="0" pageOrder="downThenOver" orientation="landscape" blackAndWhite="false" draft="false" cellComments="none" horizontalDpi="300" verticalDpi="300" copies="1"/>
  <headerFooter differentFirst="false" differentOddEven="false">
    <oddHeader>&amp;L&amp;"Arial,Bold"&amp;9Halcyon Metalworks Kft.&amp;R&amp;"Arial,Regular"&amp;9Cost centre reporting tool v2.4</oddHeader>
    <oddFooter>&amp;L&amp;"Arial,Regular"&amp;8Illustrative sample, fictional data - prepared by Tarlan Charkasov, ACCA&amp;R&amp;"Arial,Regular"&amp;8Page &amp;P of &amp;N</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G40"/>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3"/>
    <col collapsed="false" customWidth="true" hidden="false" outlineLevel="0" max="2" min="2" style="0" width="34"/>
    <col collapsed="false" customWidth="true" hidden="false" outlineLevel="0" max="5" min="3" style="0" width="14"/>
    <col collapsed="false" customWidth="true" hidden="false" outlineLevel="0" max="6" min="6" style="0" width="12"/>
    <col collapsed="false" customWidth="true" hidden="false" outlineLevel="0" max="7" min="7" style="0" width="44"/>
  </cols>
  <sheetData>
    <row r="1" customFormat="false" ht="24" hidden="false" customHeight="true" outlineLevel="0" collapsed="false">
      <c r="A1" s="18" t="s">
        <v>163</v>
      </c>
      <c r="B1" s="18"/>
      <c r="C1" s="18"/>
      <c r="D1" s="18"/>
      <c r="E1" s="18"/>
      <c r="F1" s="18"/>
      <c r="G1" s="18"/>
    </row>
    <row r="2" customFormat="false" ht="15" hidden="false" customHeight="false" outlineLevel="0" collapsed="false">
      <c r="B2" s="19" t="s">
        <v>164</v>
      </c>
      <c r="C2" s="19"/>
      <c r="D2" s="19"/>
      <c r="E2" s="19"/>
      <c r="F2" s="19"/>
      <c r="G2" s="19"/>
    </row>
    <row r="4" customFormat="false" ht="15" hidden="false" customHeight="false" outlineLevel="0" collapsed="false">
      <c r="B4" s="61" t="s">
        <v>127</v>
      </c>
      <c r="D4" s="62" t="s">
        <v>146</v>
      </c>
      <c r="E4" s="63" t="str">
        <f aca="false">IFERROR(INDEX(Mapping!$G$7:$G$18,MATCH($D$4,Mapping!$F$7:$F$18,0)),"unknown cost centre")</f>
        <v>Machining - Cell B</v>
      </c>
      <c r="F4" s="63"/>
      <c r="G4" s="63"/>
    </row>
    <row r="5" customFormat="false" ht="15" hidden="false" customHeight="false" outlineLevel="0" collapsed="false">
      <c r="B5" s="6" t="s">
        <v>128</v>
      </c>
      <c r="D5" s="64" t="str">
        <f aca="false">IFERROR(INDEX(Mapping!$H$7:$H$18,MATCH($D$4,Mapping!$F$7:$F$18,0)),"-")</f>
        <v>G. Nagy</v>
      </c>
      <c r="E5" s="19" t="str">
        <f aca="false">"Period "&amp;'Control Panel'!$E$9&amp;"    |    prepared by the reporting tool, run reference on the Audit Trail tab"</f>
        <v>Period 2026-06    |    prepared by the reporting tool, run reference on the Audit Trail tab</v>
      </c>
      <c r="F5" s="19"/>
      <c r="G5" s="19"/>
    </row>
    <row r="7" customFormat="false" ht="16.5" hidden="false" customHeight="true" outlineLevel="0" collapsed="false">
      <c r="A7" s="9" t="s">
        <v>165</v>
      </c>
      <c r="B7" s="9"/>
      <c r="C7" s="9"/>
      <c r="D7" s="9"/>
      <c r="E7" s="9"/>
      <c r="F7" s="9"/>
      <c r="G7" s="9"/>
    </row>
    <row r="8" customFormat="false" ht="19.5" hidden="false" customHeight="true" outlineLevel="0" collapsed="false">
      <c r="B8" s="11" t="s">
        <v>102</v>
      </c>
      <c r="C8" s="11" t="s">
        <v>103</v>
      </c>
      <c r="D8" s="11" t="s">
        <v>104</v>
      </c>
      <c r="E8" s="11" t="s">
        <v>105</v>
      </c>
      <c r="F8" s="11" t="s">
        <v>106</v>
      </c>
      <c r="G8" s="11" t="s">
        <v>166</v>
      </c>
    </row>
    <row r="9" customFormat="false" ht="15" hidden="false" customHeight="false" outlineLevel="0" collapsed="false">
      <c r="B9" s="34" t="s">
        <v>109</v>
      </c>
      <c r="C9" s="35" t="n">
        <f aca="false">SUMIFS(Staging!$H$4:$H$533,Staging!$B$4:$B$533,$D$4,Staging!$D$4:$D$533,$B9)</f>
        <v>17059.94</v>
      </c>
      <c r="D9" s="35" t="n">
        <f aca="false">SUMIFS(Budget!$D$4:$D$107,Budget!$B$4:$B$107,$D$4,Budget!$C$4:$C$107,$B9)</f>
        <v>16800</v>
      </c>
      <c r="E9" s="35" t="n">
        <f aca="false">C9-D9</f>
        <v>259.939999999999</v>
      </c>
      <c r="F9" s="36" t="n">
        <f aca="false">IF(D9=0,"",E9/D9)</f>
        <v>0.015472619047619</v>
      </c>
      <c r="G9" s="65" t="str">
        <f aca="false">IF(D9=0,IF(C9=0,"","no budget issued for this line"),IF(ABS(E9)&gt;2000,"comment required",""))</f>
        <v/>
      </c>
    </row>
    <row r="10" customFormat="false" ht="15" hidden="false" customHeight="false" outlineLevel="0" collapsed="false">
      <c r="B10" s="34" t="s">
        <v>110</v>
      </c>
      <c r="C10" s="35" t="n">
        <f aca="false">SUMIFS(Staging!$H$4:$H$533,Staging!$B$4:$B$533,$D$4,Staging!$D$4:$D$533,$B10)</f>
        <v>39846.29</v>
      </c>
      <c r="D10" s="35" t="n">
        <f aca="false">SUMIFS(Budget!$D$4:$D$107,Budget!$B$4:$B$107,$D$4,Budget!$C$4:$C$107,$B10)</f>
        <v>39000</v>
      </c>
      <c r="E10" s="35" t="n">
        <f aca="false">C10-D10</f>
        <v>846.290000000001</v>
      </c>
      <c r="F10" s="36" t="n">
        <f aca="false">IF(D10=0,"",E10/D10)</f>
        <v>0.0216997435897436</v>
      </c>
      <c r="G10" s="65" t="str">
        <f aca="false">IF(D10=0,IF(C10=0,"","no budget issued for this line"),IF(ABS(E10)&gt;2000,"comment required",""))</f>
        <v/>
      </c>
    </row>
    <row r="11" customFormat="false" ht="15" hidden="false" customHeight="false" outlineLevel="0" collapsed="false">
      <c r="B11" s="34" t="s">
        <v>111</v>
      </c>
      <c r="C11" s="35" t="n">
        <f aca="false">SUMIFS(Staging!$H$4:$H$533,Staging!$B$4:$B$533,$D$4,Staging!$D$4:$D$533,$B11)</f>
        <v>47503.42</v>
      </c>
      <c r="D11" s="35" t="n">
        <f aca="false">SUMIFS(Budget!$D$4:$D$107,Budget!$B$4:$B$107,$D$4,Budget!$C$4:$C$107,$B11)</f>
        <v>49000</v>
      </c>
      <c r="E11" s="35" t="n">
        <f aca="false">C11-D11</f>
        <v>-1496.58</v>
      </c>
      <c r="F11" s="36" t="n">
        <f aca="false">IF(D11=0,"",E11/D11)</f>
        <v>-0.0305424489795919</v>
      </c>
      <c r="G11" s="65" t="str">
        <f aca="false">IF(D11=0,IF(C11=0,"","no budget issued for this line"),IF(ABS(E11)&gt;2000,"comment required",""))</f>
        <v/>
      </c>
    </row>
    <row r="12" customFormat="false" ht="15" hidden="false" customHeight="false" outlineLevel="0" collapsed="false">
      <c r="B12" s="34" t="s">
        <v>112</v>
      </c>
      <c r="C12" s="35" t="n">
        <f aca="false">SUMIFS(Staging!$H$4:$H$533,Staging!$B$4:$B$533,$D$4,Staging!$D$4:$D$533,$B12)</f>
        <v>19715.66</v>
      </c>
      <c r="D12" s="35" t="n">
        <f aca="false">SUMIFS(Budget!$D$4:$D$107,Budget!$B$4:$B$107,$D$4,Budget!$C$4:$C$107,$B12)</f>
        <v>19600</v>
      </c>
      <c r="E12" s="35" t="n">
        <f aca="false">C12-D12</f>
        <v>115.66</v>
      </c>
      <c r="F12" s="36" t="n">
        <f aca="false">IF(D12=0,"",E12/D12)</f>
        <v>0.00590102040816326</v>
      </c>
      <c r="G12" s="65" t="str">
        <f aca="false">IF(D12=0,IF(C12=0,"","no budget issued for this line"),IF(ABS(E12)&gt;2000,"comment required",""))</f>
        <v/>
      </c>
    </row>
    <row r="13" customFormat="false" ht="15" hidden="false" customHeight="false" outlineLevel="0" collapsed="false">
      <c r="B13" s="34" t="s">
        <v>113</v>
      </c>
      <c r="C13" s="35" t="n">
        <f aca="false">SUMIFS(Staging!$H$4:$H$533,Staging!$B$4:$B$533,$D$4,Staging!$D$4:$D$533,$B13)</f>
        <v>43900</v>
      </c>
      <c r="D13" s="35" t="n">
        <f aca="false">SUMIFS(Budget!$D$4:$D$107,Budget!$B$4:$B$107,$D$4,Budget!$C$4:$C$107,$B13)</f>
        <v>18000</v>
      </c>
      <c r="E13" s="35" t="n">
        <f aca="false">C13-D13</f>
        <v>25900</v>
      </c>
      <c r="F13" s="36" t="n">
        <f aca="false">IF(D13=0,"",E13/D13)</f>
        <v>1.43888888888889</v>
      </c>
      <c r="G13" s="65" t="str">
        <f aca="false">IF(D13=0,IF(C13=0,"","no budget issued for this line"),IF(ABS(E13)&gt;2000,"comment required",""))</f>
        <v>comment required</v>
      </c>
    </row>
    <row r="14" customFormat="false" ht="15" hidden="false" customHeight="false" outlineLevel="0" collapsed="false">
      <c r="B14" s="34" t="s">
        <v>114</v>
      </c>
      <c r="C14" s="35" t="n">
        <f aca="false">SUMIFS(Staging!$H$4:$H$533,Staging!$B$4:$B$533,$D$4,Staging!$D$4:$D$533,$B14)</f>
        <v>988.02</v>
      </c>
      <c r="D14" s="35" t="n">
        <f aca="false">SUMIFS(Budget!$D$4:$D$107,Budget!$B$4:$B$107,$D$4,Budget!$C$4:$C$107,$B14)</f>
        <v>1000</v>
      </c>
      <c r="E14" s="35" t="n">
        <f aca="false">C14-D14</f>
        <v>-11.98</v>
      </c>
      <c r="F14" s="36" t="n">
        <f aca="false">IF(D14=0,"",E14/D14)</f>
        <v>-0.01198</v>
      </c>
      <c r="G14" s="65" t="str">
        <f aca="false">IF(D14=0,IF(C14=0,"","no budget issued for this line"),IF(ABS(E14)&gt;2000,"comment required",""))</f>
        <v/>
      </c>
    </row>
    <row r="15" customFormat="false" ht="15" hidden="false" customHeight="false" outlineLevel="0" collapsed="false">
      <c r="B15" s="34" t="s">
        <v>115</v>
      </c>
      <c r="C15" s="35" t="n">
        <f aca="false">SUMIFS(Staging!$H$4:$H$533,Staging!$B$4:$B$533,$D$4,Staging!$D$4:$D$533,$B15)</f>
        <v>12514.86</v>
      </c>
      <c r="D15" s="35" t="n">
        <f aca="false">SUMIFS(Budget!$D$4:$D$107,Budget!$B$4:$B$107,$D$4,Budget!$C$4:$C$107,$B15)</f>
        <v>12500</v>
      </c>
      <c r="E15" s="35" t="n">
        <f aca="false">C15-D15</f>
        <v>14.8600000000006</v>
      </c>
      <c r="F15" s="36" t="n">
        <f aca="false">IF(D15=0,"",E15/D15)</f>
        <v>0.00118880000000005</v>
      </c>
      <c r="G15" s="65" t="str">
        <f aca="false">IF(D15=0,IF(C15=0,"","no budget issued for this line"),IF(ABS(E15)&gt;2000,"comment required",""))</f>
        <v/>
      </c>
    </row>
    <row r="16" customFormat="false" ht="15" hidden="false" customHeight="false" outlineLevel="0" collapsed="false">
      <c r="B16" s="34" t="s">
        <v>116</v>
      </c>
      <c r="C16" s="35" t="n">
        <f aca="false">SUMIFS(Staging!$H$4:$H$533,Staging!$B$4:$B$533,$D$4,Staging!$D$4:$D$533,$B16)</f>
        <v>0</v>
      </c>
      <c r="D16" s="35" t="n">
        <f aca="false">SUMIFS(Budget!$D$4:$D$107,Budget!$B$4:$B$107,$D$4,Budget!$C$4:$C$107,$B16)</f>
        <v>0</v>
      </c>
      <c r="E16" s="35" t="n">
        <f aca="false">C16-D16</f>
        <v>0</v>
      </c>
      <c r="F16" s="36" t="str">
        <f aca="false">IF(D16=0,"",E16/D16)</f>
        <v/>
      </c>
      <c r="G16" s="65" t="str">
        <f aca="false">IF(D16=0,IF(C16=0,"","no budget issued for this line"),IF(ABS(E16)&gt;2000,"comment required",""))</f>
        <v/>
      </c>
    </row>
    <row r="17" customFormat="false" ht="15" hidden="false" customHeight="false" outlineLevel="0" collapsed="false">
      <c r="B17" s="34" t="s">
        <v>117</v>
      </c>
      <c r="C17" s="35" t="n">
        <f aca="false">SUMIFS(Staging!$H$4:$H$533,Staging!$B$4:$B$533,$D$4,Staging!$D$4:$D$533,$B17)</f>
        <v>0</v>
      </c>
      <c r="D17" s="35" t="n">
        <f aca="false">SUMIFS(Budget!$D$4:$D$107,Budget!$B$4:$B$107,$D$4,Budget!$C$4:$C$107,$B17)</f>
        <v>0</v>
      </c>
      <c r="E17" s="35" t="n">
        <f aca="false">C17-D17</f>
        <v>0</v>
      </c>
      <c r="F17" s="36" t="str">
        <f aca="false">IF(D17=0,"",E17/D17)</f>
        <v/>
      </c>
      <c r="G17" s="65" t="str">
        <f aca="false">IF(D17=0,IF(C17=0,"","no budget issued for this line"),IF(ABS(E17)&gt;2000,"comment required",""))</f>
        <v/>
      </c>
    </row>
    <row r="18" customFormat="false" ht="15" hidden="false" customHeight="false" outlineLevel="0" collapsed="false">
      <c r="B18" s="34" t="s">
        <v>118</v>
      </c>
      <c r="C18" s="35" t="n">
        <f aca="false">SUMIFS(Staging!$H$4:$H$533,Staging!$B$4:$B$533,$D$4,Staging!$D$4:$D$533,$B18)</f>
        <v>804.38</v>
      </c>
      <c r="D18" s="35" t="n">
        <f aca="false">SUMIFS(Budget!$D$4:$D$107,Budget!$B$4:$B$107,$D$4,Budget!$C$4:$C$107,$B18)</f>
        <v>800</v>
      </c>
      <c r="E18" s="35" t="n">
        <f aca="false">C18-D18</f>
        <v>4.38</v>
      </c>
      <c r="F18" s="36" t="n">
        <f aca="false">IF(D18=0,"",E18/D18)</f>
        <v>0.005475</v>
      </c>
      <c r="G18" s="65" t="str">
        <f aca="false">IF(D18=0,IF(C18=0,"","no budget issued for this line"),IF(ABS(E18)&gt;2000,"comment required",""))</f>
        <v/>
      </c>
    </row>
    <row r="19" customFormat="false" ht="15" hidden="false" customHeight="false" outlineLevel="0" collapsed="false">
      <c r="B19" s="34" t="s">
        <v>119</v>
      </c>
      <c r="C19" s="35" t="n">
        <f aca="false">SUMIFS(Staging!$H$4:$H$533,Staging!$B$4:$B$533,$D$4,Staging!$D$4:$D$533,$B19)</f>
        <v>0</v>
      </c>
      <c r="D19" s="35" t="n">
        <f aca="false">SUMIFS(Budget!$D$4:$D$107,Budget!$B$4:$B$107,$D$4,Budget!$C$4:$C$107,$B19)</f>
        <v>0</v>
      </c>
      <c r="E19" s="35" t="n">
        <f aca="false">C19-D19</f>
        <v>0</v>
      </c>
      <c r="F19" s="36" t="str">
        <f aca="false">IF(D19=0,"",E19/D19)</f>
        <v/>
      </c>
      <c r="G19" s="65" t="str">
        <f aca="false">IF(D19=0,IF(C19=0,"","no budget issued for this line"),IF(ABS(E19)&gt;2000,"comment required",""))</f>
        <v/>
      </c>
    </row>
    <row r="20" customFormat="false" ht="15" hidden="false" customHeight="false" outlineLevel="0" collapsed="false">
      <c r="B20" s="34" t="s">
        <v>120</v>
      </c>
      <c r="C20" s="35" t="n">
        <f aca="false">SUMIFS(Staging!$H$4:$H$533,Staging!$B$4:$B$533,$D$4,Staging!$D$4:$D$533,$B20)</f>
        <v>362.22</v>
      </c>
      <c r="D20" s="35" t="n">
        <f aca="false">SUMIFS(Budget!$D$4:$D$107,Budget!$B$4:$B$107,$D$4,Budget!$C$4:$C$107,$B20)</f>
        <v>350</v>
      </c>
      <c r="E20" s="35" t="n">
        <f aca="false">C20-D20</f>
        <v>12.22</v>
      </c>
      <c r="F20" s="36" t="n">
        <f aca="false">IF(D20=0,"",E20/D20)</f>
        <v>0.0349142857142858</v>
      </c>
      <c r="G20" s="65" t="str">
        <f aca="false">IF(D20=0,IF(C20=0,"","no budget issued for this line"),IF(ABS(E20)&gt;2000,"comment required",""))</f>
        <v/>
      </c>
    </row>
    <row r="21" customFormat="false" ht="15" hidden="false" customHeight="false" outlineLevel="0" collapsed="false">
      <c r="B21" s="34" t="s">
        <v>121</v>
      </c>
      <c r="C21" s="35" t="n">
        <f aca="false">SUMIFS(Staging!$H$4:$H$533,Staging!$B$4:$B$533,$D$4,Staging!$D$4:$D$533,$B21)</f>
        <v>0</v>
      </c>
      <c r="D21" s="35" t="n">
        <f aca="false">SUMIFS(Budget!$D$4:$D$107,Budget!$B$4:$B$107,$D$4,Budget!$C$4:$C$107,$B21)</f>
        <v>0</v>
      </c>
      <c r="E21" s="35" t="n">
        <f aca="false">C21-D21</f>
        <v>0</v>
      </c>
      <c r="F21" s="36" t="str">
        <f aca="false">IF(D21=0,"",E21/D21)</f>
        <v/>
      </c>
      <c r="G21" s="65" t="str">
        <f aca="false">IF(D21=0,IF(C21=0,"","no budget issued for this line"),IF(ABS(E21)&gt;2000,"comment required",""))</f>
        <v/>
      </c>
    </row>
    <row r="22" customFormat="false" ht="15" hidden="false" customHeight="false" outlineLevel="0" collapsed="false">
      <c r="B22" s="34" t="s">
        <v>122</v>
      </c>
      <c r="C22" s="35" t="n">
        <f aca="false">SUMIFS(Staging!$H$4:$H$533,Staging!$B$4:$B$533,$D$4,Staging!$D$4:$D$533,$B22)</f>
        <v>28110</v>
      </c>
      <c r="D22" s="35" t="n">
        <f aca="false">SUMIFS(Budget!$D$4:$D$107,Budget!$B$4:$B$107,$D$4,Budget!$C$4:$C$107,$B22)</f>
        <v>28500</v>
      </c>
      <c r="E22" s="35" t="n">
        <f aca="false">C22-D22</f>
        <v>-390</v>
      </c>
      <c r="F22" s="36" t="n">
        <f aca="false">IF(D22=0,"",E22/D22)</f>
        <v>-0.0136842105263158</v>
      </c>
      <c r="G22" s="65" t="str">
        <f aca="false">IF(D22=0,IF(C22=0,"","no budget issued for this line"),IF(ABS(E22)&gt;2000,"comment required",""))</f>
        <v/>
      </c>
    </row>
    <row r="23" customFormat="false" ht="15" hidden="false" customHeight="false" outlineLevel="0" collapsed="false">
      <c r="B23" s="34" t="s">
        <v>123</v>
      </c>
      <c r="C23" s="35" t="n">
        <f aca="false">SUMIFS(Staging!$H$4:$H$533,Staging!$B$4:$B$533,$D$4,Staging!$D$4:$D$533,$B23)</f>
        <v>0</v>
      </c>
      <c r="D23" s="35" t="n">
        <f aca="false">SUMIFS(Budget!$D$4:$D$107,Budget!$B$4:$B$107,$D$4,Budget!$C$4:$C$107,$B23)</f>
        <v>0</v>
      </c>
      <c r="E23" s="35" t="n">
        <f aca="false">C23-D23</f>
        <v>0</v>
      </c>
      <c r="F23" s="36" t="str">
        <f aca="false">IF(D23=0,"",E23/D23)</f>
        <v/>
      </c>
      <c r="G23" s="65" t="str">
        <f aca="false">IF(D23=0,IF(C23=0,"","no budget issued for this line"),IF(ABS(E23)&gt;2000,"comment required",""))</f>
        <v/>
      </c>
    </row>
    <row r="24" customFormat="false" ht="15" hidden="false" customHeight="false" outlineLevel="0" collapsed="false">
      <c r="B24" s="39" t="s">
        <v>143</v>
      </c>
      <c r="C24" s="40" t="n">
        <f aca="false">SUM(C9:C23)</f>
        <v>210804.79</v>
      </c>
      <c r="D24" s="40" t="n">
        <f aca="false">SUM(D9:D23)</f>
        <v>185550</v>
      </c>
      <c r="E24" s="40" t="n">
        <f aca="false">SUM(E9:E23)</f>
        <v>25254.79</v>
      </c>
      <c r="F24" s="41" t="n">
        <f aca="false">IF(D24=0,"",E24/D24)</f>
        <v>0.136107733764484</v>
      </c>
      <c r="G24" s="42"/>
    </row>
    <row r="26" customFormat="false" ht="16.5" hidden="false" customHeight="true" outlineLevel="0" collapsed="false">
      <c r="A26" s="9" t="s">
        <v>167</v>
      </c>
      <c r="B26" s="9"/>
      <c r="C26" s="9"/>
      <c r="D26" s="9"/>
      <c r="E26" s="9"/>
      <c r="F26" s="9"/>
      <c r="G26" s="9"/>
    </row>
    <row r="27" customFormat="false" ht="18" hidden="false" customHeight="true" outlineLevel="0" collapsed="false">
      <c r="B27" s="11" t="s">
        <v>102</v>
      </c>
      <c r="C27" s="11" t="s">
        <v>105</v>
      </c>
      <c r="D27" s="11" t="s">
        <v>103</v>
      </c>
      <c r="E27" s="11" t="s">
        <v>104</v>
      </c>
      <c r="F27" s="11" t="s">
        <v>106</v>
      </c>
      <c r="G27" s="11" t="s">
        <v>168</v>
      </c>
    </row>
    <row r="28" customFormat="false" ht="15" hidden="false" customHeight="false" outlineLevel="0" collapsed="false">
      <c r="A28" s="53" t="n">
        <v>1</v>
      </c>
      <c r="B28" s="34" t="str">
        <f aca="false">INDEX(Report!$C$42:$Q$42,MATCH($C28,INDEX(Report!$C$43:$Q$55,MATCH($D$4,Report!$B$43:$B$55,0),0),0))</f>
        <v>Agency &amp; temporary labour</v>
      </c>
      <c r="C28" s="55" t="n">
        <f aca="false">LARGE(INDEX(Report!$C$43:$Q$55,MATCH($D$4,Report!$B$43:$B$55,0),0),1)</f>
        <v>25900.000887</v>
      </c>
      <c r="D28" s="35" t="n">
        <f aca="false">SUMIFS(Staging!$H$4:$H$533,Staging!$B$4:$B$533,$D$4,Staging!$D$4:$D$533,$B28)</f>
        <v>43900</v>
      </c>
      <c r="E28" s="35" t="n">
        <f aca="false">SUMIFS(Budget!$D$4:$D$107,Budget!$B$4:$B$107,$D$4,Budget!$C$4:$C$107,$B28)</f>
        <v>18000</v>
      </c>
      <c r="F28" s="36" t="n">
        <f aca="false">IF(E28=0,"",C28/E28)</f>
        <v>1.43888893816667</v>
      </c>
      <c r="G28" s="37" t="str">
        <f aca="false">IF(C28&gt;2000,"explain to the plant director","")</f>
        <v>explain to the plant director</v>
      </c>
    </row>
    <row r="29" customFormat="false" ht="15" hidden="false" customHeight="false" outlineLevel="0" collapsed="false">
      <c r="A29" s="53" t="n">
        <v>2</v>
      </c>
      <c r="B29" s="34" t="str">
        <f aca="false">INDEX(Report!$C$42:$Q$42,MATCH($C29,INDEX(Report!$C$43:$Q$55,MATCH($D$4,Report!$B$43:$B$55,0),0),0))</f>
        <v>Energy</v>
      </c>
      <c r="C29" s="55" t="n">
        <f aca="false">LARGE(INDEX(Report!$C$43:$Q$55,MATCH($D$4,Report!$B$43:$B$55,0),0),2)</f>
        <v>846.290884000001</v>
      </c>
      <c r="D29" s="35" t="n">
        <f aca="false">SUMIFS(Staging!$H$4:$H$533,Staging!$B$4:$B$533,$D$4,Staging!$D$4:$D$533,$B29)</f>
        <v>39846.29</v>
      </c>
      <c r="E29" s="35" t="n">
        <f aca="false">SUMIFS(Budget!$D$4:$D$107,Budget!$B$4:$B$107,$D$4,Budget!$C$4:$C$107,$B29)</f>
        <v>39000</v>
      </c>
      <c r="F29" s="36" t="n">
        <f aca="false">IF(E29=0,"",C29/E29)</f>
        <v>0.0216997662564103</v>
      </c>
      <c r="G29" s="37" t="str">
        <f aca="false">IF(C29&gt;2000,"explain to the plant director","")</f>
        <v/>
      </c>
    </row>
    <row r="30" customFormat="false" ht="15" hidden="false" customHeight="false" outlineLevel="0" collapsed="false">
      <c r="A30" s="53" t="n">
        <v>3</v>
      </c>
      <c r="B30" s="34" t="str">
        <f aca="false">INDEX(Report!$C$42:$Q$42,MATCH($C30,INDEX(Report!$C$43:$Q$55,MATCH($D$4,Report!$B$43:$B$55,0),0),0))</f>
        <v>Consumables &amp; tooling</v>
      </c>
      <c r="C30" s="55" t="n">
        <f aca="false">LARGE(INDEX(Report!$C$43:$Q$55,MATCH($D$4,Report!$B$43:$B$55,0),0),3)</f>
        <v>259.940882999999</v>
      </c>
      <c r="D30" s="35" t="n">
        <f aca="false">SUMIFS(Staging!$H$4:$H$533,Staging!$B$4:$B$533,$D$4,Staging!$D$4:$D$533,$B30)</f>
        <v>17059.94</v>
      </c>
      <c r="E30" s="35" t="n">
        <f aca="false">SUMIFS(Budget!$D$4:$D$107,Budget!$B$4:$B$107,$D$4,Budget!$C$4:$C$107,$B30)</f>
        <v>16800</v>
      </c>
      <c r="F30" s="36" t="n">
        <f aca="false">IF(E30=0,"",C30/E30)</f>
        <v>0.0154726716071428</v>
      </c>
      <c r="G30" s="37" t="str">
        <f aca="false">IF(C30&gt;2000,"explain to the plant director","")</f>
        <v/>
      </c>
    </row>
    <row r="31" customFormat="false" ht="15" hidden="false" customHeight="false" outlineLevel="0" collapsed="false">
      <c r="A31" s="53" t="n">
        <v>4</v>
      </c>
      <c r="B31" s="34" t="str">
        <f aca="false">INDEX(Report!$C$42:$Q$42,MATCH($C31,INDEX(Report!$C$43:$Q$55,MATCH($D$4,Report!$B$43:$B$55,0),0),0))</f>
        <v>Social contributions</v>
      </c>
      <c r="C31" s="55" t="n">
        <f aca="false">LARGE(INDEX(Report!$C$43:$Q$55,MATCH($D$4,Report!$B$43:$B$55,0),0),4)</f>
        <v>115.660886</v>
      </c>
      <c r="D31" s="35" t="n">
        <f aca="false">SUMIFS(Staging!$H$4:$H$533,Staging!$B$4:$B$533,$D$4,Staging!$D$4:$D$533,$B31)</f>
        <v>19715.66</v>
      </c>
      <c r="E31" s="35" t="n">
        <f aca="false">SUMIFS(Budget!$D$4:$D$107,Budget!$B$4:$B$107,$D$4,Budget!$C$4:$C$107,$B31)</f>
        <v>19600</v>
      </c>
      <c r="F31" s="36" t="n">
        <f aca="false">IF(E31=0,"",C31/E31)</f>
        <v>0.00590106561224489</v>
      </c>
      <c r="G31" s="37" t="str">
        <f aca="false">IF(C31&gt;2000,"explain to the plant director","")</f>
        <v/>
      </c>
    </row>
    <row r="32" customFormat="false" ht="15" hidden="false" customHeight="false" outlineLevel="0" collapsed="false">
      <c r="A32" s="53" t="n">
        <v>5</v>
      </c>
      <c r="B32" s="34" t="str">
        <f aca="false">INDEX(Report!$C$42:$Q$42,MATCH($C32,INDEX(Report!$C$43:$Q$55,MATCH($D$4,Report!$B$43:$B$55,0),0),0))</f>
        <v>Repairs &amp; maintenance</v>
      </c>
      <c r="C32" s="55" t="n">
        <f aca="false">LARGE(INDEX(Report!$C$43:$Q$55,MATCH($D$4,Report!$B$43:$B$55,0),0),5)</f>
        <v>14.8608890000006</v>
      </c>
      <c r="D32" s="35" t="n">
        <f aca="false">SUMIFS(Staging!$H$4:$H$533,Staging!$B$4:$B$533,$D$4,Staging!$D$4:$D$533,$B32)</f>
        <v>12514.86</v>
      </c>
      <c r="E32" s="35" t="n">
        <f aca="false">SUMIFS(Budget!$D$4:$D$107,Budget!$B$4:$B$107,$D$4,Budget!$C$4:$C$107,$B32)</f>
        <v>12500</v>
      </c>
      <c r="F32" s="36" t="n">
        <f aca="false">IF(E32=0,"",C32/E32)</f>
        <v>0.00118887112000005</v>
      </c>
      <c r="G32" s="37" t="str">
        <f aca="false">IF(C32&gt;2000,"explain to the plant director","")</f>
        <v/>
      </c>
    </row>
    <row r="34" customFormat="false" ht="16.5" hidden="false" customHeight="true" outlineLevel="0" collapsed="false">
      <c r="A34" s="9" t="s">
        <v>169</v>
      </c>
      <c r="B34" s="9"/>
      <c r="C34" s="9"/>
      <c r="D34" s="9"/>
      <c r="E34" s="9"/>
      <c r="F34" s="9"/>
      <c r="G34" s="9"/>
    </row>
    <row r="35" customFormat="false" ht="15" hidden="false" customHeight="true" outlineLevel="0" collapsed="false">
      <c r="B35" s="66"/>
      <c r="C35" s="66"/>
      <c r="D35" s="66"/>
      <c r="E35" s="66"/>
      <c r="F35" s="66"/>
      <c r="G35" s="66"/>
    </row>
    <row r="36" customFormat="false" ht="15" hidden="false" customHeight="true" outlineLevel="0" collapsed="false">
      <c r="B36" s="66"/>
      <c r="C36" s="66"/>
      <c r="D36" s="66"/>
      <c r="E36" s="66"/>
      <c r="F36" s="66"/>
      <c r="G36" s="66"/>
    </row>
    <row r="37" customFormat="false" ht="15" hidden="false" customHeight="true" outlineLevel="0" collapsed="false">
      <c r="B37" s="66"/>
      <c r="C37" s="66"/>
      <c r="D37" s="66"/>
      <c r="E37" s="66"/>
      <c r="F37" s="66"/>
      <c r="G37" s="66"/>
    </row>
    <row r="38" customFormat="false" ht="15" hidden="false" customHeight="true" outlineLevel="0" collapsed="false">
      <c r="B38" s="66"/>
      <c r="C38" s="66"/>
      <c r="D38" s="66"/>
      <c r="E38" s="66"/>
      <c r="F38" s="66"/>
      <c r="G38" s="66"/>
    </row>
    <row r="40" customFormat="false" ht="15" hidden="false" customHeight="false" outlineLevel="0" collapsed="false">
      <c r="B40" s="67" t="s">
        <v>170</v>
      </c>
      <c r="D40" s="68" t="s">
        <v>171</v>
      </c>
      <c r="F40" s="67" t="s">
        <v>172</v>
      </c>
      <c r="G40" s="68" t="s">
        <v>171</v>
      </c>
    </row>
  </sheetData>
  <mergeCells count="8">
    <mergeCell ref="A1:G1"/>
    <mergeCell ref="B2:G2"/>
    <mergeCell ref="E4:G4"/>
    <mergeCell ref="E5:G5"/>
    <mergeCell ref="A7:G7"/>
    <mergeCell ref="A26:G26"/>
    <mergeCell ref="A34:G34"/>
    <mergeCell ref="B35:G38"/>
  </mergeCells>
  <printOptions headings="false" gridLines="false" gridLinesSet="true" horizontalCentered="false" verticalCentered="false"/>
  <pageMargins left="0.3" right="0.3" top="1" bottom="1" header="0.5" footer="0.5"/>
  <pageSetup paperSize="9" scale="100" fitToWidth="1" fitToHeight="0" pageOrder="downThenOver" orientation="portrait" blackAndWhite="false" draft="false" cellComments="none" horizontalDpi="300" verticalDpi="300" copies="1"/>
  <headerFooter differentFirst="false" differentOddEven="false">
    <oddHeader>&amp;L&amp;"Arial,Bold"&amp;9Halcyon Metalworks Kft.&amp;R&amp;"Arial,Regular"&amp;9Cost centre reporting tool v2.4</oddHeader>
    <oddFooter>&amp;L&amp;"Arial,Regular"&amp;8Illustrative sample, fictional data - prepared by Tarlan Charkasov, ACCA&amp;R&amp;"Arial,Regular"&amp;8Page &amp;P of &amp;N</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G18"/>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3"/>
    <col collapsed="false" customWidth="true" hidden="false" outlineLevel="0" max="2" min="2" style="0" width="40"/>
    <col collapsed="false" customWidth="true" hidden="false" outlineLevel="0" max="3" min="3" style="0" width="12"/>
    <col collapsed="false" customWidth="true" hidden="false" outlineLevel="0" max="4" min="4" style="0" width="14"/>
    <col collapsed="false" customWidth="true" hidden="false" outlineLevel="0" max="6" min="5" style="0" width="12"/>
    <col collapsed="false" customWidth="true" hidden="false" outlineLevel="0" max="7" min="7" style="0" width="62"/>
  </cols>
  <sheetData>
    <row r="1" customFormat="false" ht="24" hidden="false" customHeight="true" outlineLevel="0" collapsed="false">
      <c r="A1" s="18" t="s">
        <v>173</v>
      </c>
      <c r="B1" s="18"/>
      <c r="C1" s="18"/>
      <c r="D1" s="18"/>
      <c r="E1" s="18"/>
      <c r="F1" s="18"/>
      <c r="G1" s="18"/>
    </row>
    <row r="2" customFormat="false" ht="15" hidden="false" customHeight="true" outlineLevel="0" collapsed="false">
      <c r="A2" s="19" t="s">
        <v>174</v>
      </c>
      <c r="B2" s="19"/>
      <c r="C2" s="19"/>
      <c r="D2" s="19"/>
      <c r="E2" s="19"/>
      <c r="F2" s="19"/>
      <c r="G2" s="19"/>
    </row>
    <row r="4" customFormat="false" ht="16.5" hidden="false" customHeight="true" outlineLevel="0" collapsed="false">
      <c r="A4" s="9" t="s">
        <v>175</v>
      </c>
      <c r="B4" s="9"/>
      <c r="C4" s="9"/>
      <c r="D4" s="9"/>
      <c r="E4" s="9"/>
      <c r="F4" s="9"/>
      <c r="G4" s="9"/>
    </row>
    <row r="5" customFormat="false" ht="19.5" hidden="false" customHeight="true" outlineLevel="0" collapsed="false">
      <c r="B5" s="11" t="s">
        <v>176</v>
      </c>
      <c r="C5" s="11" t="s">
        <v>177</v>
      </c>
      <c r="D5" s="11" t="s">
        <v>178</v>
      </c>
      <c r="E5" s="11" t="s">
        <v>179</v>
      </c>
      <c r="F5" s="11" t="s">
        <v>129</v>
      </c>
      <c r="G5" s="11" t="s">
        <v>180</v>
      </c>
    </row>
    <row r="6" customFormat="false" ht="39" hidden="false" customHeight="true" outlineLevel="0" collapsed="false">
      <c r="B6" s="34" t="s">
        <v>181</v>
      </c>
      <c r="C6" s="69" t="n">
        <f aca="false">SUMPRODUCT(--ISNUMBER(SEARCH("UNMAPPED",Staging!$I$4:$I$533)))</f>
        <v>3</v>
      </c>
      <c r="D6" s="70" t="n">
        <f aca="false">SUMPRODUCT(--ISNUMBER(SEARCH("UNMAPPED",Staging!$I$4:$I$533)),Staging!$H$4:$H$533)</f>
        <v>4855.5</v>
      </c>
      <c r="E6" s="71" t="s">
        <v>182</v>
      </c>
      <c r="F6" s="72" t="str">
        <f aca="false">IF(C6=0,"clear","review")</f>
        <v>review</v>
      </c>
      <c r="G6" s="73" t="s">
        <v>183</v>
      </c>
    </row>
    <row r="7" customFormat="false" ht="28.5" hidden="false" customHeight="true" outlineLevel="0" collapsed="false">
      <c r="B7" s="34" t="s">
        <v>184</v>
      </c>
      <c r="C7" s="69" t="n">
        <f aca="false">SUMPRODUCT(--ISNUMBER(SEARCH("NO COST CENTRE",Staging!$I$4:$I$533)))</f>
        <v>1</v>
      </c>
      <c r="D7" s="70" t="n">
        <f aca="false">SUMPRODUCT(--ISNUMBER(SEARCH("NO COST CENTRE",Staging!$I$4:$I$533)),Staging!$H$4:$H$533)</f>
        <v>2150</v>
      </c>
      <c r="E7" s="71" t="s">
        <v>182</v>
      </c>
      <c r="F7" s="72" t="str">
        <f aca="false">IF(C7=0,"clear","review")</f>
        <v>review</v>
      </c>
      <c r="G7" s="73" t="s">
        <v>185</v>
      </c>
    </row>
    <row r="8" customFormat="false" ht="28.5" hidden="false" customHeight="true" outlineLevel="0" collapsed="false">
      <c r="B8" s="34" t="s">
        <v>186</v>
      </c>
      <c r="C8" s="69" t="n">
        <f aca="false">SUMPRODUCT(--ISNUMBER(SEARCH("DUPLICATE",Staging!$I$4:$I$533)))</f>
        <v>1</v>
      </c>
      <c r="D8" s="70" t="n">
        <f aca="false">SUMPRODUCT(--ISNUMBER(SEARCH("DUPLICATE",Staging!$I$4:$I$533)),Staging!$H$4:$H$533)</f>
        <v>1491.94</v>
      </c>
      <c r="E8" s="71" t="s">
        <v>182</v>
      </c>
      <c r="F8" s="72" t="str">
        <f aca="false">IF(C8=0,"clear","review")</f>
        <v>review</v>
      </c>
      <c r="G8" s="73" t="s">
        <v>187</v>
      </c>
    </row>
    <row r="9" customFormat="false" ht="28.5" hidden="false" customHeight="true" outlineLevel="0" collapsed="false">
      <c r="B9" s="34" t="s">
        <v>188</v>
      </c>
      <c r="C9" s="69" t="n">
        <f aca="false">SUMPRODUCT(--ISNUMBER(SEARCH("CREDIT",Staging!$I$4:$I$533)))</f>
        <v>3</v>
      </c>
      <c r="D9" s="70" t="n">
        <f aca="false">SUMPRODUCT(--ISNUMBER(SEARCH("CREDIT",Staging!$I$4:$I$533)),Staging!$H$4:$H$533)</f>
        <v>-4220.4</v>
      </c>
      <c r="E9" s="74" t="s">
        <v>189</v>
      </c>
      <c r="F9" s="72" t="str">
        <f aca="false">IF(C9=0,"clear","review")</f>
        <v>review</v>
      </c>
      <c r="G9" s="73" t="s">
        <v>190</v>
      </c>
    </row>
    <row r="10" customFormat="false" ht="39" hidden="false" customHeight="true" outlineLevel="0" collapsed="false">
      <c r="B10" s="34" t="s">
        <v>191</v>
      </c>
      <c r="C10" s="69" t="n">
        <f aca="false">SUMPRODUCT(--ISNUMBER(SEARCH("NO BUDGET",Staging!$I$4:$I$533)))</f>
        <v>17</v>
      </c>
      <c r="D10" s="70" t="n">
        <f aca="false">SUMPRODUCT(--ISNUMBER(SEARCH("NO BUDGET",Staging!$I$4:$I$533)),Staging!$H$4:$H$533)</f>
        <v>23409.88</v>
      </c>
      <c r="E10" s="74" t="s">
        <v>189</v>
      </c>
      <c r="F10" s="72" t="str">
        <f aca="false">IF(C10=0,"clear","review")</f>
        <v>review</v>
      </c>
      <c r="G10" s="73" t="s">
        <v>192</v>
      </c>
    </row>
    <row r="11" customFormat="false" ht="15" hidden="false" customHeight="false" outlineLevel="0" collapsed="false">
      <c r="B11" s="39" t="s">
        <v>193</v>
      </c>
      <c r="C11" s="75" t="n">
        <f aca="false">530-COUNTIF(Staging!$I$4:$I$533,"OK")</f>
        <v>24</v>
      </c>
      <c r="D11" s="76" t="n">
        <f aca="false">SUMIF(Staging!$I$4:$I$533,"&lt;&gt;OK",Staging!$H$4:$H$533)</f>
        <v>25536.92</v>
      </c>
      <c r="E11" s="77"/>
      <c r="F11" s="77"/>
      <c r="G11" s="60" t="s">
        <v>194</v>
      </c>
    </row>
    <row r="13" customFormat="false" ht="16.5" hidden="false" customHeight="true" outlineLevel="0" collapsed="false">
      <c r="A13" s="9" t="s">
        <v>195</v>
      </c>
      <c r="B13" s="9"/>
      <c r="C13" s="9"/>
      <c r="D13" s="9"/>
      <c r="E13" s="9"/>
      <c r="F13" s="9"/>
      <c r="G13" s="9"/>
    </row>
    <row r="14" customFormat="false" ht="19.5" hidden="false" customHeight="true" outlineLevel="0" collapsed="false">
      <c r="B14" s="11" t="s">
        <v>196</v>
      </c>
      <c r="C14" s="11" t="s">
        <v>197</v>
      </c>
      <c r="D14" s="11" t="s">
        <v>103</v>
      </c>
      <c r="E14" s="11"/>
      <c r="F14" s="11" t="s">
        <v>129</v>
      </c>
      <c r="G14" s="11" t="s">
        <v>198</v>
      </c>
    </row>
    <row r="15" customFormat="false" ht="39" hidden="false" customHeight="true" outlineLevel="0" collapsed="false">
      <c r="B15" s="34" t="s">
        <v>199</v>
      </c>
      <c r="C15" s="78" t="n">
        <f aca="false">530</f>
        <v>530</v>
      </c>
      <c r="D15" s="78" t="n">
        <f aca="false">COUNTIF(Staging!$M$4:$M$533,"ok")</f>
        <v>530</v>
      </c>
      <c r="E15" s="78" t="n">
        <f aca="false">C15-D15</f>
        <v>0</v>
      </c>
      <c r="F15" s="72" t="str">
        <f aca="false">IF(ABS(E15)&lt;0.01,"OK","CHECK")</f>
        <v>OK</v>
      </c>
      <c r="G15" s="73" t="s">
        <v>200</v>
      </c>
    </row>
    <row r="16" customFormat="false" ht="28.5" hidden="false" customHeight="true" outlineLevel="0" collapsed="false">
      <c r="B16" s="34" t="s">
        <v>201</v>
      </c>
      <c r="C16" s="78" t="n">
        <f aca="false">Staging!$H$534</f>
        <v>1086005.18</v>
      </c>
      <c r="D16" s="78" t="n">
        <f aca="false">Report!$C$21</f>
        <v>1086005.18</v>
      </c>
      <c r="E16" s="78" t="n">
        <f aca="false">C16-D16</f>
        <v>0</v>
      </c>
      <c r="F16" s="72" t="str">
        <f aca="false">IF(ABS(E16)&lt;0.01,"OK","CHECK")</f>
        <v>OK</v>
      </c>
      <c r="G16" s="73" t="s">
        <v>202</v>
      </c>
    </row>
    <row r="17" customFormat="false" ht="28.5" hidden="false" customHeight="true" outlineLevel="0" collapsed="false">
      <c r="B17" s="34" t="s">
        <v>203</v>
      </c>
      <c r="C17" s="78" t="n">
        <f aca="false">'Audit Trail'!$H$12</f>
        <v>1086005.18</v>
      </c>
      <c r="D17" s="78" t="n">
        <f aca="false">Staging!$H$534</f>
        <v>1086005.18</v>
      </c>
      <c r="E17" s="78" t="n">
        <f aca="false">C17-D17</f>
        <v>0</v>
      </c>
      <c r="F17" s="72" t="str">
        <f aca="false">IF(ABS(E17)&lt;0.01,"OK","CHECK")</f>
        <v>OK</v>
      </c>
      <c r="G17" s="73" t="s">
        <v>204</v>
      </c>
    </row>
    <row r="18" customFormat="false" ht="39" hidden="false" customHeight="true" outlineLevel="0" collapsed="false">
      <c r="B18" s="34" t="s">
        <v>205</v>
      </c>
      <c r="C18" s="78" t="n">
        <f aca="false">12</f>
        <v>12</v>
      </c>
      <c r="D18" s="78" t="n">
        <f aca="false">SUMPRODUCT(--(COUNTIF(Mapping!$F$7:$F$18,LEFT(Report!$B$26:$B$38,4))&gt;0))</f>
        <v>12</v>
      </c>
      <c r="E18" s="78" t="n">
        <f aca="false">C18-D18</f>
        <v>0</v>
      </c>
      <c r="F18" s="72" t="str">
        <f aca="false">IF(ABS(E18)&lt;0.01,"OK","CHECK")</f>
        <v>OK</v>
      </c>
      <c r="G18" s="73" t="s">
        <v>206</v>
      </c>
    </row>
  </sheetData>
  <mergeCells count="4">
    <mergeCell ref="A1:G1"/>
    <mergeCell ref="A2:G2"/>
    <mergeCell ref="A4:G4"/>
    <mergeCell ref="A13:G13"/>
  </mergeCells>
  <conditionalFormatting sqref="F6:F10">
    <cfRule type="expression" priority="2" aboveAverage="0" equalAverage="0" bottom="0" percent="0" rank="0" text="" dxfId="3">
      <formula>$F6="review"</formula>
    </cfRule>
  </conditionalFormatting>
  <conditionalFormatting sqref="F15:F18">
    <cfRule type="expression" priority="3" aboveAverage="0" equalAverage="0" bottom="0" percent="0" rank="0" text="" dxfId="4">
      <formula>$F15="OK"</formula>
    </cfRule>
    <cfRule type="expression" priority="4" aboveAverage="0" equalAverage="0" bottom="0" percent="0" rank="0" text="" dxfId="3">
      <formula>$F15="CHECK"</formula>
    </cfRule>
  </conditionalFormatting>
  <printOptions headings="false" gridLines="false" gridLinesSet="true" horizontalCentered="false" verticalCentered="false"/>
  <pageMargins left="0.3" right="0.3" top="1" bottom="1" header="0.5" footer="0.5"/>
  <pageSetup paperSize="9" scale="100" fitToWidth="1" fitToHeight="0" pageOrder="downThenOver" orientation="landscape" blackAndWhite="false" draft="false" cellComments="none" horizontalDpi="300" verticalDpi="300" copies="1"/>
  <headerFooter differentFirst="false" differentOddEven="false">
    <oddHeader>&amp;L&amp;"Arial,Bold"&amp;9Halcyon Metalworks Kft.&amp;R&amp;"Arial,Regular"&amp;9Cost centre reporting tool v2.4</oddHeader>
    <oddFooter>&amp;L&amp;"Arial,Regular"&amp;8Illustrative sample, fictional data - prepared by Tarlan Charkasov, ACCA&amp;R&amp;"Arial,Regular"&amp;8Page &amp;P of &amp;N</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M534"/>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1" ySplit="3" topLeftCell="B4" activePane="bottomRight" state="frozen"/>
      <selection pane="topLeft" activeCell="A1" activeCellId="0" sqref="A1"/>
      <selection pane="topRight" activeCell="B1" activeCellId="0" sqref="B1"/>
      <selection pane="bottomLeft" activeCell="A4" activeCellId="0" sqref="A4"/>
      <selection pane="bottomRight" activeCell="A1" activeCellId="0" sqref="A1"/>
    </sheetView>
  </sheetViews>
  <sheetFormatPr defaultColWidth="8.6796875" defaultRowHeight="15" zeroHeight="false" outlineLevelRow="0" outlineLevelCol="0"/>
  <cols>
    <col collapsed="false" customWidth="true" hidden="false" outlineLevel="0" max="1" min="1" style="0" width="3"/>
    <col collapsed="false" customWidth="true" hidden="false" outlineLevel="0" max="2" min="2" style="0" width="12"/>
    <col collapsed="false" customWidth="true" hidden="false" outlineLevel="0" max="3" min="3" style="0" width="11"/>
    <col collapsed="false" customWidth="true" hidden="false" outlineLevel="0" max="4" min="4" style="0" width="26"/>
    <col collapsed="false" customWidth="true" hidden="false" outlineLevel="0" max="5" min="5" style="0" width="11"/>
    <col collapsed="false" customWidth="true" hidden="false" outlineLevel="0" max="6" min="6" style="0" width="12"/>
    <col collapsed="false" customWidth="true" hidden="false" outlineLevel="0" max="7" min="7" style="0" width="52"/>
    <col collapsed="false" customWidth="true" hidden="false" outlineLevel="0" max="8" min="8" style="0" width="13"/>
    <col collapsed="false" customWidth="true" hidden="false" outlineLevel="0" max="9" min="9" style="0" width="22"/>
    <col collapsed="false" customWidth="true" hidden="false" outlineLevel="0" max="10" min="10" style="0" width="10"/>
    <col collapsed="false" customWidth="true" hidden="false" outlineLevel="0" max="12" min="11" style="0" width="22"/>
    <col collapsed="false" customWidth="true" hidden="false" outlineLevel="0" max="13" min="13" style="0" width="13"/>
  </cols>
  <sheetData>
    <row r="1" customFormat="false" ht="24" hidden="false" customHeight="true" outlineLevel="0" collapsed="false">
      <c r="A1" s="18" t="s">
        <v>207</v>
      </c>
      <c r="B1" s="18"/>
      <c r="C1" s="18"/>
      <c r="D1" s="18"/>
      <c r="E1" s="18"/>
      <c r="F1" s="18"/>
      <c r="G1" s="18"/>
      <c r="H1" s="18"/>
      <c r="I1" s="18"/>
      <c r="J1" s="18"/>
      <c r="K1" s="18"/>
      <c r="L1" s="18"/>
      <c r="M1" s="18"/>
    </row>
    <row r="2" customFormat="false" ht="15" hidden="false" customHeight="true" outlineLevel="0" collapsed="false">
      <c r="A2" s="19" t="s">
        <v>208</v>
      </c>
      <c r="B2" s="19"/>
      <c r="C2" s="19"/>
      <c r="D2" s="19"/>
      <c r="E2" s="19"/>
      <c r="F2" s="19"/>
      <c r="G2" s="19"/>
      <c r="H2" s="19"/>
      <c r="I2" s="19"/>
      <c r="J2" s="19"/>
      <c r="K2" s="19"/>
      <c r="L2" s="19"/>
      <c r="M2" s="19"/>
    </row>
    <row r="3" customFormat="false" ht="33.75" hidden="false" customHeight="true" outlineLevel="0" collapsed="false">
      <c r="B3" s="11" t="s">
        <v>127</v>
      </c>
      <c r="C3" s="11" t="s">
        <v>209</v>
      </c>
      <c r="D3" s="11" t="s">
        <v>102</v>
      </c>
      <c r="E3" s="11" t="s">
        <v>210</v>
      </c>
      <c r="F3" s="11" t="s">
        <v>211</v>
      </c>
      <c r="G3" s="11" t="s">
        <v>212</v>
      </c>
      <c r="H3" s="11" t="s">
        <v>213</v>
      </c>
      <c r="I3" s="11" t="s">
        <v>214</v>
      </c>
      <c r="J3" s="11" t="s">
        <v>215</v>
      </c>
      <c r="K3" s="11" t="s">
        <v>216</v>
      </c>
      <c r="L3" s="11" t="s">
        <v>217</v>
      </c>
      <c r="M3" s="11" t="s">
        <v>218</v>
      </c>
    </row>
    <row r="4" customFormat="false" ht="12" hidden="false" customHeight="true" outlineLevel="0" collapsed="false">
      <c r="B4" s="50" t="s">
        <v>157</v>
      </c>
      <c r="C4" s="50" t="s">
        <v>219</v>
      </c>
      <c r="D4" s="79" t="s">
        <v>118</v>
      </c>
      <c r="E4" s="80" t="n">
        <v>46192</v>
      </c>
      <c r="F4" s="50" t="s">
        <v>220</v>
      </c>
      <c r="G4" s="81" t="s">
        <v>221</v>
      </c>
      <c r="H4" s="82" t="n">
        <v>2150</v>
      </c>
      <c r="I4" s="65" t="s">
        <v>222</v>
      </c>
      <c r="J4" s="37" t="s">
        <v>77</v>
      </c>
      <c r="K4" s="37" t="str">
        <f aca="false">TRIM(IF($B4="UNASSIGNED","NO COST CENTRE ","")&amp;IF(ISNA(MATCH($C4,Mapping!$B$7:$B$36,0)),"UNMAPPED ","")&amp;IF(COUNTIFS($C$4:$C4,$C4,$F$4:$F4,$F4,$H$4:$H4,$H4)&gt;1,"DUPLICATE ","")&amp;IF(AND(NOT(ISNA(MATCH($C4,Mapping!$B$7:$B$36,0))),$H4&lt;-'Control Panel'!$E$16),"CREDIT ","")&amp;IF(AND(NOT(ISNA(MATCH($C4,Mapping!$B$7:$B$36,0))),COUNTIFS(Budget!$B$4:$B$107,$B4,Budget!$C$4:$C$107,$D4)=0),"NO BUDGET ",""))</f>
        <v>NO COST CENTRE NO BUDGET</v>
      </c>
      <c r="L4" s="83" t="str">
        <f aca="false">IF($K4="","OK",$K4)</f>
        <v>NO COST CENTRE NO BUDGET</v>
      </c>
      <c r="M4" s="47" t="str">
        <f aca="false">IF(EXACT($L4,$I4),"ok","CHECK")</f>
        <v>ok</v>
      </c>
    </row>
    <row r="5" customFormat="false" ht="12" hidden="false" customHeight="true" outlineLevel="0" collapsed="false">
      <c r="B5" s="50" t="s">
        <v>145</v>
      </c>
      <c r="C5" s="50" t="s">
        <v>223</v>
      </c>
      <c r="D5" s="79" t="s">
        <v>113</v>
      </c>
      <c r="E5" s="80" t="n">
        <v>46174</v>
      </c>
      <c r="F5" s="50" t="s">
        <v>224</v>
      </c>
      <c r="G5" s="81" t="s">
        <v>225</v>
      </c>
      <c r="H5" s="82" t="n">
        <v>1581.09</v>
      </c>
      <c r="I5" s="37" t="s">
        <v>226</v>
      </c>
      <c r="J5" s="37" t="s">
        <v>77</v>
      </c>
      <c r="K5" s="37" t="str">
        <f aca="false">TRIM(IF($B5="UNASSIGNED","NO COST CENTRE ","")&amp;IF(ISNA(MATCH($C5,Mapping!$B$7:$B$36,0)),"UNMAPPED ","")&amp;IF(COUNTIFS($C$4:$C5,$C5,$F$4:$F5,$F5,$H$4:$H5,$H5)&gt;1,"DUPLICATE ","")&amp;IF(AND(NOT(ISNA(MATCH($C5,Mapping!$B$7:$B$36,0))),$H5&lt;-'Control Panel'!$E$16),"CREDIT ","")&amp;IF(AND(NOT(ISNA(MATCH($C5,Mapping!$B$7:$B$36,0))),COUNTIFS(Budget!$B$4:$B$107,$B5,Budget!$C$4:$C$107,$D5)=0),"NO BUDGET ",""))</f>
        <v/>
      </c>
      <c r="L5" s="83" t="str">
        <f aca="false">IF($K5="","OK",$K5)</f>
        <v>OK</v>
      </c>
      <c r="M5" s="47" t="str">
        <f aca="false">IF(EXACT($L5,$I5),"ok","CHECK")</f>
        <v>ok</v>
      </c>
    </row>
    <row r="6" customFormat="false" ht="12" hidden="false" customHeight="true" outlineLevel="0" collapsed="false">
      <c r="B6" s="50" t="s">
        <v>145</v>
      </c>
      <c r="C6" s="50" t="s">
        <v>227</v>
      </c>
      <c r="D6" s="79" t="s">
        <v>112</v>
      </c>
      <c r="E6" s="80" t="n">
        <v>46174</v>
      </c>
      <c r="F6" s="50" t="s">
        <v>228</v>
      </c>
      <c r="G6" s="81" t="s">
        <v>229</v>
      </c>
      <c r="H6" s="82" t="n">
        <v>9280.06</v>
      </c>
      <c r="I6" s="37" t="s">
        <v>226</v>
      </c>
      <c r="J6" s="37" t="s">
        <v>77</v>
      </c>
      <c r="K6" s="37" t="str">
        <f aca="false">TRIM(IF($B6="UNASSIGNED","NO COST CENTRE ","")&amp;IF(ISNA(MATCH($C6,Mapping!$B$7:$B$36,0)),"UNMAPPED ","")&amp;IF(COUNTIFS($C$4:$C6,$C6,$F$4:$F6,$F6,$H$4:$H6,$H6)&gt;1,"DUPLICATE ","")&amp;IF(AND(NOT(ISNA(MATCH($C6,Mapping!$B$7:$B$36,0))),$H6&lt;-'Control Panel'!$E$16),"CREDIT ","")&amp;IF(AND(NOT(ISNA(MATCH($C6,Mapping!$B$7:$B$36,0))),COUNTIFS(Budget!$B$4:$B$107,$B6,Budget!$C$4:$C$107,$D6)=0),"NO BUDGET ",""))</f>
        <v/>
      </c>
      <c r="L6" s="83" t="str">
        <f aca="false">IF($K6="","OK",$K6)</f>
        <v>OK</v>
      </c>
      <c r="M6" s="47" t="str">
        <f aca="false">IF(EXACT($L6,$I6),"ok","CHECK")</f>
        <v>ok</v>
      </c>
    </row>
    <row r="7" customFormat="false" ht="12" hidden="false" customHeight="true" outlineLevel="0" collapsed="false">
      <c r="B7" s="50" t="s">
        <v>145</v>
      </c>
      <c r="C7" s="50" t="s">
        <v>230</v>
      </c>
      <c r="D7" s="79" t="s">
        <v>115</v>
      </c>
      <c r="E7" s="80" t="n">
        <v>46174</v>
      </c>
      <c r="F7" s="50" t="s">
        <v>231</v>
      </c>
      <c r="G7" s="81" t="s">
        <v>232</v>
      </c>
      <c r="H7" s="82" t="n">
        <v>1480.42</v>
      </c>
      <c r="I7" s="37" t="s">
        <v>226</v>
      </c>
      <c r="J7" s="37" t="s">
        <v>77</v>
      </c>
      <c r="K7" s="37" t="str">
        <f aca="false">TRIM(IF($B7="UNASSIGNED","NO COST CENTRE ","")&amp;IF(ISNA(MATCH($C7,Mapping!$B$7:$B$36,0)),"UNMAPPED ","")&amp;IF(COUNTIFS($C$4:$C7,$C7,$F$4:$F7,$F7,$H$4:$H7,$H7)&gt;1,"DUPLICATE ","")&amp;IF(AND(NOT(ISNA(MATCH($C7,Mapping!$B$7:$B$36,0))),$H7&lt;-'Control Panel'!$E$16),"CREDIT ","")&amp;IF(AND(NOT(ISNA(MATCH($C7,Mapping!$B$7:$B$36,0))),COUNTIFS(Budget!$B$4:$B$107,$B7,Budget!$C$4:$C$107,$D7)=0),"NO BUDGET ",""))</f>
        <v/>
      </c>
      <c r="L7" s="83" t="str">
        <f aca="false">IF($K7="","OK",$K7)</f>
        <v>OK</v>
      </c>
      <c r="M7" s="47" t="str">
        <f aca="false">IF(EXACT($L7,$I7),"ok","CHECK")</f>
        <v>ok</v>
      </c>
    </row>
    <row r="8" customFormat="false" ht="12" hidden="false" customHeight="true" outlineLevel="0" collapsed="false">
      <c r="B8" s="50" t="s">
        <v>145</v>
      </c>
      <c r="C8" s="50" t="s">
        <v>223</v>
      </c>
      <c r="D8" s="79" t="s">
        <v>113</v>
      </c>
      <c r="E8" s="80" t="n">
        <v>46174</v>
      </c>
      <c r="F8" s="50" t="s">
        <v>233</v>
      </c>
      <c r="G8" s="81" t="s">
        <v>234</v>
      </c>
      <c r="H8" s="82" t="n">
        <v>1712.79</v>
      </c>
      <c r="I8" s="37" t="s">
        <v>226</v>
      </c>
      <c r="J8" s="37" t="s">
        <v>77</v>
      </c>
      <c r="K8" s="37" t="str">
        <f aca="false">TRIM(IF($B8="UNASSIGNED","NO COST CENTRE ","")&amp;IF(ISNA(MATCH($C8,Mapping!$B$7:$B$36,0)),"UNMAPPED ","")&amp;IF(COUNTIFS($C$4:$C8,$C8,$F$4:$F8,$F8,$H$4:$H8,$H8)&gt;1,"DUPLICATE ","")&amp;IF(AND(NOT(ISNA(MATCH($C8,Mapping!$B$7:$B$36,0))),$H8&lt;-'Control Panel'!$E$16),"CREDIT ","")&amp;IF(AND(NOT(ISNA(MATCH($C8,Mapping!$B$7:$B$36,0))),COUNTIFS(Budget!$B$4:$B$107,$B8,Budget!$C$4:$C$107,$D8)=0),"NO BUDGET ",""))</f>
        <v/>
      </c>
      <c r="L8" s="83" t="str">
        <f aca="false">IF($K8="","OK",$K8)</f>
        <v>OK</v>
      </c>
      <c r="M8" s="47" t="str">
        <f aca="false">IF(EXACT($L8,$I8),"ok","CHECK")</f>
        <v>ok</v>
      </c>
    </row>
    <row r="9" customFormat="false" ht="12" hidden="false" customHeight="true" outlineLevel="0" collapsed="false">
      <c r="B9" s="50" t="s">
        <v>145</v>
      </c>
      <c r="C9" s="50" t="s">
        <v>235</v>
      </c>
      <c r="D9" s="79" t="s">
        <v>122</v>
      </c>
      <c r="E9" s="80" t="n">
        <v>46174</v>
      </c>
      <c r="F9" s="50" t="s">
        <v>236</v>
      </c>
      <c r="G9" s="81" t="s">
        <v>237</v>
      </c>
      <c r="H9" s="82" t="n">
        <v>19893.17</v>
      </c>
      <c r="I9" s="37" t="s">
        <v>226</v>
      </c>
      <c r="J9" s="37" t="s">
        <v>77</v>
      </c>
      <c r="K9" s="37" t="str">
        <f aca="false">TRIM(IF($B9="UNASSIGNED","NO COST CENTRE ","")&amp;IF(ISNA(MATCH($C9,Mapping!$B$7:$B$36,0)),"UNMAPPED ","")&amp;IF(COUNTIFS($C$4:$C9,$C9,$F$4:$F9,$F9,$H$4:$H9,$H9)&gt;1,"DUPLICATE ","")&amp;IF(AND(NOT(ISNA(MATCH($C9,Mapping!$B$7:$B$36,0))),$H9&lt;-'Control Panel'!$E$16),"CREDIT ","")&amp;IF(AND(NOT(ISNA(MATCH($C9,Mapping!$B$7:$B$36,0))),COUNTIFS(Budget!$B$4:$B$107,$B9,Budget!$C$4:$C$107,$D9)=0),"NO BUDGET ",""))</f>
        <v/>
      </c>
      <c r="L9" s="83" t="str">
        <f aca="false">IF($K9="","OK",$K9)</f>
        <v>OK</v>
      </c>
      <c r="M9" s="47" t="str">
        <f aca="false">IF(EXACT($L9,$I9),"ok","CHECK")</f>
        <v>ok</v>
      </c>
    </row>
    <row r="10" customFormat="false" ht="12" hidden="false" customHeight="true" outlineLevel="0" collapsed="false">
      <c r="B10" s="50" t="s">
        <v>145</v>
      </c>
      <c r="C10" s="50" t="s">
        <v>238</v>
      </c>
      <c r="D10" s="79" t="s">
        <v>110</v>
      </c>
      <c r="E10" s="80" t="n">
        <v>46174</v>
      </c>
      <c r="F10" s="50" t="s">
        <v>239</v>
      </c>
      <c r="G10" s="81" t="s">
        <v>240</v>
      </c>
      <c r="H10" s="82" t="n">
        <v>4321.27</v>
      </c>
      <c r="I10" s="37" t="s">
        <v>226</v>
      </c>
      <c r="J10" s="37" t="s">
        <v>77</v>
      </c>
      <c r="K10" s="37" t="str">
        <f aca="false">TRIM(IF($B10="UNASSIGNED","NO COST CENTRE ","")&amp;IF(ISNA(MATCH($C10,Mapping!$B$7:$B$36,0)),"UNMAPPED ","")&amp;IF(COUNTIFS($C$4:$C10,$C10,$F$4:$F10,$F10,$H$4:$H10,$H10)&gt;1,"DUPLICATE ","")&amp;IF(AND(NOT(ISNA(MATCH($C10,Mapping!$B$7:$B$36,0))),$H10&lt;-'Control Panel'!$E$16),"CREDIT ","")&amp;IF(AND(NOT(ISNA(MATCH($C10,Mapping!$B$7:$B$36,0))),COUNTIFS(Budget!$B$4:$B$107,$B10,Budget!$C$4:$C$107,$D10)=0),"NO BUDGET ",""))</f>
        <v/>
      </c>
      <c r="L10" s="83" t="str">
        <f aca="false">IF($K10="","OK",$K10)</f>
        <v>OK</v>
      </c>
      <c r="M10" s="47" t="str">
        <f aca="false">IF(EXACT($L10,$I10),"ok","CHECK")</f>
        <v>ok</v>
      </c>
    </row>
    <row r="11" customFormat="false" ht="12" hidden="false" customHeight="true" outlineLevel="0" collapsed="false">
      <c r="B11" s="50" t="s">
        <v>145</v>
      </c>
      <c r="C11" s="50" t="s">
        <v>241</v>
      </c>
      <c r="D11" s="79" t="s">
        <v>111</v>
      </c>
      <c r="E11" s="80" t="n">
        <v>46175</v>
      </c>
      <c r="F11" s="50" t="s">
        <v>242</v>
      </c>
      <c r="G11" s="81" t="s">
        <v>243</v>
      </c>
      <c r="H11" s="82" t="n">
        <v>4020.3</v>
      </c>
      <c r="I11" s="37" t="s">
        <v>226</v>
      </c>
      <c r="J11" s="37" t="s">
        <v>77</v>
      </c>
      <c r="K11" s="37" t="str">
        <f aca="false">TRIM(IF($B11="UNASSIGNED","NO COST CENTRE ","")&amp;IF(ISNA(MATCH($C11,Mapping!$B$7:$B$36,0)),"UNMAPPED ","")&amp;IF(COUNTIFS($C$4:$C11,$C11,$F$4:$F11,$F11,$H$4:$H11,$H11)&gt;1,"DUPLICATE ","")&amp;IF(AND(NOT(ISNA(MATCH($C11,Mapping!$B$7:$B$36,0))),$H11&lt;-'Control Panel'!$E$16),"CREDIT ","")&amp;IF(AND(NOT(ISNA(MATCH($C11,Mapping!$B$7:$B$36,0))),COUNTIFS(Budget!$B$4:$B$107,$B11,Budget!$C$4:$C$107,$D11)=0),"NO BUDGET ",""))</f>
        <v/>
      </c>
      <c r="L11" s="83" t="str">
        <f aca="false">IF($K11="","OK",$K11)</f>
        <v>OK</v>
      </c>
      <c r="M11" s="47" t="str">
        <f aca="false">IF(EXACT($L11,$I11),"ok","CHECK")</f>
        <v>ok</v>
      </c>
    </row>
    <row r="12" customFormat="false" ht="12" hidden="false" customHeight="true" outlineLevel="0" collapsed="false">
      <c r="B12" s="50" t="s">
        <v>145</v>
      </c>
      <c r="C12" s="50" t="s">
        <v>244</v>
      </c>
      <c r="D12" s="79" t="s">
        <v>111</v>
      </c>
      <c r="E12" s="80" t="n">
        <v>46176</v>
      </c>
      <c r="F12" s="50" t="s">
        <v>245</v>
      </c>
      <c r="G12" s="81" t="s">
        <v>246</v>
      </c>
      <c r="H12" s="82" t="n">
        <v>3193.5</v>
      </c>
      <c r="I12" s="37" t="s">
        <v>226</v>
      </c>
      <c r="J12" s="37" t="s">
        <v>77</v>
      </c>
      <c r="K12" s="37" t="str">
        <f aca="false">TRIM(IF($B12="UNASSIGNED","NO COST CENTRE ","")&amp;IF(ISNA(MATCH($C12,Mapping!$B$7:$B$36,0)),"UNMAPPED ","")&amp;IF(COUNTIFS($C$4:$C12,$C12,$F$4:$F12,$F12,$H$4:$H12,$H12)&gt;1,"DUPLICATE ","")&amp;IF(AND(NOT(ISNA(MATCH($C12,Mapping!$B$7:$B$36,0))),$H12&lt;-'Control Panel'!$E$16),"CREDIT ","")&amp;IF(AND(NOT(ISNA(MATCH($C12,Mapping!$B$7:$B$36,0))),COUNTIFS(Budget!$B$4:$B$107,$B12,Budget!$C$4:$C$107,$D12)=0),"NO BUDGET ",""))</f>
        <v/>
      </c>
      <c r="L12" s="83" t="str">
        <f aca="false">IF($K12="","OK",$K12)</f>
        <v>OK</v>
      </c>
      <c r="M12" s="47" t="str">
        <f aca="false">IF(EXACT($L12,$I12),"ok","CHECK")</f>
        <v>ok</v>
      </c>
    </row>
    <row r="13" customFormat="false" ht="12" hidden="false" customHeight="true" outlineLevel="0" collapsed="false">
      <c r="B13" s="50" t="s">
        <v>145</v>
      </c>
      <c r="C13" s="50" t="s">
        <v>247</v>
      </c>
      <c r="D13" s="79" t="s">
        <v>110</v>
      </c>
      <c r="E13" s="80" t="n">
        <v>46176</v>
      </c>
      <c r="F13" s="50" t="s">
        <v>248</v>
      </c>
      <c r="G13" s="81" t="s">
        <v>249</v>
      </c>
      <c r="H13" s="82" t="n">
        <v>2141.87</v>
      </c>
      <c r="I13" s="37" t="s">
        <v>226</v>
      </c>
      <c r="J13" s="37" t="s">
        <v>77</v>
      </c>
      <c r="K13" s="37" t="str">
        <f aca="false">TRIM(IF($B13="UNASSIGNED","NO COST CENTRE ","")&amp;IF(ISNA(MATCH($C13,Mapping!$B$7:$B$36,0)),"UNMAPPED ","")&amp;IF(COUNTIFS($C$4:$C13,$C13,$F$4:$F13,$F13,$H$4:$H13,$H13)&gt;1,"DUPLICATE ","")&amp;IF(AND(NOT(ISNA(MATCH($C13,Mapping!$B$7:$B$36,0))),$H13&lt;-'Control Panel'!$E$16),"CREDIT ","")&amp;IF(AND(NOT(ISNA(MATCH($C13,Mapping!$B$7:$B$36,0))),COUNTIFS(Budget!$B$4:$B$107,$B13,Budget!$C$4:$C$107,$D13)=0),"NO BUDGET ",""))</f>
        <v/>
      </c>
      <c r="L13" s="83" t="str">
        <f aca="false">IF($K13="","OK",$K13)</f>
        <v>OK</v>
      </c>
      <c r="M13" s="47" t="str">
        <f aca="false">IF(EXACT($L13,$I13),"ok","CHECK")</f>
        <v>ok</v>
      </c>
    </row>
    <row r="14" customFormat="false" ht="12" hidden="false" customHeight="true" outlineLevel="0" collapsed="false">
      <c r="B14" s="50" t="s">
        <v>145</v>
      </c>
      <c r="C14" s="50" t="s">
        <v>250</v>
      </c>
      <c r="D14" s="79" t="s">
        <v>115</v>
      </c>
      <c r="E14" s="80" t="n">
        <v>46177</v>
      </c>
      <c r="F14" s="50" t="s">
        <v>251</v>
      </c>
      <c r="G14" s="81" t="s">
        <v>252</v>
      </c>
      <c r="H14" s="82" t="n">
        <v>1281.1</v>
      </c>
      <c r="I14" s="37" t="s">
        <v>226</v>
      </c>
      <c r="J14" s="37" t="s">
        <v>77</v>
      </c>
      <c r="K14" s="37" t="str">
        <f aca="false">TRIM(IF($B14="UNASSIGNED","NO COST CENTRE ","")&amp;IF(ISNA(MATCH($C14,Mapping!$B$7:$B$36,0)),"UNMAPPED ","")&amp;IF(COUNTIFS($C$4:$C14,$C14,$F$4:$F14,$F14,$H$4:$H14,$H14)&gt;1,"DUPLICATE ","")&amp;IF(AND(NOT(ISNA(MATCH($C14,Mapping!$B$7:$B$36,0))),$H14&lt;-'Control Panel'!$E$16),"CREDIT ","")&amp;IF(AND(NOT(ISNA(MATCH($C14,Mapping!$B$7:$B$36,0))),COUNTIFS(Budget!$B$4:$B$107,$B14,Budget!$C$4:$C$107,$D14)=0),"NO BUDGET ",""))</f>
        <v/>
      </c>
      <c r="L14" s="83" t="str">
        <f aca="false">IF($K14="","OK",$K14)</f>
        <v>OK</v>
      </c>
      <c r="M14" s="47" t="str">
        <f aca="false">IF(EXACT($L14,$I14),"ok","CHECK")</f>
        <v>ok</v>
      </c>
    </row>
    <row r="15" customFormat="false" ht="12" hidden="false" customHeight="true" outlineLevel="0" collapsed="false">
      <c r="B15" s="50" t="s">
        <v>145</v>
      </c>
      <c r="C15" s="50" t="s">
        <v>250</v>
      </c>
      <c r="D15" s="79" t="s">
        <v>115</v>
      </c>
      <c r="E15" s="80" t="n">
        <v>46178</v>
      </c>
      <c r="F15" s="50" t="s">
        <v>253</v>
      </c>
      <c r="G15" s="81" t="s">
        <v>254</v>
      </c>
      <c r="H15" s="82" t="n">
        <v>1262.45</v>
      </c>
      <c r="I15" s="37" t="s">
        <v>226</v>
      </c>
      <c r="J15" s="37" t="s">
        <v>77</v>
      </c>
      <c r="K15" s="37" t="str">
        <f aca="false">TRIM(IF($B15="UNASSIGNED","NO COST CENTRE ","")&amp;IF(ISNA(MATCH($C15,Mapping!$B$7:$B$36,0)),"UNMAPPED ","")&amp;IF(COUNTIFS($C$4:$C15,$C15,$F$4:$F15,$F15,$H$4:$H15,$H15)&gt;1,"DUPLICATE ","")&amp;IF(AND(NOT(ISNA(MATCH($C15,Mapping!$B$7:$B$36,0))),$H15&lt;-'Control Panel'!$E$16),"CREDIT ","")&amp;IF(AND(NOT(ISNA(MATCH($C15,Mapping!$B$7:$B$36,0))),COUNTIFS(Budget!$B$4:$B$107,$B15,Budget!$C$4:$C$107,$D15)=0),"NO BUDGET ",""))</f>
        <v/>
      </c>
      <c r="L15" s="83" t="str">
        <f aca="false">IF($K15="","OK",$K15)</f>
        <v>OK</v>
      </c>
      <c r="M15" s="47" t="str">
        <f aca="false">IF(EXACT($L15,$I15),"ok","CHECK")</f>
        <v>ok</v>
      </c>
    </row>
    <row r="16" customFormat="false" ht="12" hidden="false" customHeight="true" outlineLevel="0" collapsed="false">
      <c r="B16" s="50" t="s">
        <v>145</v>
      </c>
      <c r="C16" s="50" t="s">
        <v>255</v>
      </c>
      <c r="D16" s="79" t="s">
        <v>120</v>
      </c>
      <c r="E16" s="80" t="n">
        <v>46179</v>
      </c>
      <c r="F16" s="50" t="s">
        <v>256</v>
      </c>
      <c r="G16" s="81" t="s">
        <v>257</v>
      </c>
      <c r="H16" s="82" t="n">
        <v>397.1</v>
      </c>
      <c r="I16" s="37" t="s">
        <v>226</v>
      </c>
      <c r="J16" s="37" t="s">
        <v>77</v>
      </c>
      <c r="K16" s="37" t="str">
        <f aca="false">TRIM(IF($B16="UNASSIGNED","NO COST CENTRE ","")&amp;IF(ISNA(MATCH($C16,Mapping!$B$7:$B$36,0)),"UNMAPPED ","")&amp;IF(COUNTIFS($C$4:$C16,$C16,$F$4:$F16,$F16,$H$4:$H16,$H16)&gt;1,"DUPLICATE ","")&amp;IF(AND(NOT(ISNA(MATCH($C16,Mapping!$B$7:$B$36,0))),$H16&lt;-'Control Panel'!$E$16),"CREDIT ","")&amp;IF(AND(NOT(ISNA(MATCH($C16,Mapping!$B$7:$B$36,0))),COUNTIFS(Budget!$B$4:$B$107,$B16,Budget!$C$4:$C$107,$D16)=0),"NO BUDGET ",""))</f>
        <v/>
      </c>
      <c r="L16" s="83" t="str">
        <f aca="false">IF($K16="","OK",$K16)</f>
        <v>OK</v>
      </c>
      <c r="M16" s="47" t="str">
        <f aca="false">IF(EXACT($L16,$I16),"ok","CHECK")</f>
        <v>ok</v>
      </c>
    </row>
    <row r="17" customFormat="false" ht="12" hidden="false" customHeight="true" outlineLevel="0" collapsed="false">
      <c r="B17" s="50" t="s">
        <v>145</v>
      </c>
      <c r="C17" s="50" t="s">
        <v>244</v>
      </c>
      <c r="D17" s="79" t="s">
        <v>111</v>
      </c>
      <c r="E17" s="80" t="n">
        <v>46180</v>
      </c>
      <c r="F17" s="50" t="s">
        <v>258</v>
      </c>
      <c r="G17" s="81" t="s">
        <v>246</v>
      </c>
      <c r="H17" s="82" t="n">
        <v>3776.62</v>
      </c>
      <c r="I17" s="37" t="s">
        <v>226</v>
      </c>
      <c r="J17" s="37" t="s">
        <v>77</v>
      </c>
      <c r="K17" s="37" t="str">
        <f aca="false">TRIM(IF($B17="UNASSIGNED","NO COST CENTRE ","")&amp;IF(ISNA(MATCH($C17,Mapping!$B$7:$B$36,0)),"UNMAPPED ","")&amp;IF(COUNTIFS($C$4:$C17,$C17,$F$4:$F17,$F17,$H$4:$H17,$H17)&gt;1,"DUPLICATE ","")&amp;IF(AND(NOT(ISNA(MATCH($C17,Mapping!$B$7:$B$36,0))),$H17&lt;-'Control Panel'!$E$16),"CREDIT ","")&amp;IF(AND(NOT(ISNA(MATCH($C17,Mapping!$B$7:$B$36,0))),COUNTIFS(Budget!$B$4:$B$107,$B17,Budget!$C$4:$C$107,$D17)=0),"NO BUDGET ",""))</f>
        <v/>
      </c>
      <c r="L17" s="83" t="str">
        <f aca="false">IF($K17="","OK",$K17)</f>
        <v>OK</v>
      </c>
      <c r="M17" s="47" t="str">
        <f aca="false">IF(EXACT($L17,$I17),"ok","CHECK")</f>
        <v>ok</v>
      </c>
    </row>
    <row r="18" customFormat="false" ht="12" hidden="false" customHeight="true" outlineLevel="0" collapsed="false">
      <c r="B18" s="50" t="s">
        <v>145</v>
      </c>
      <c r="C18" s="50" t="s">
        <v>259</v>
      </c>
      <c r="D18" s="79" t="s">
        <v>111</v>
      </c>
      <c r="E18" s="80" t="n">
        <v>46180</v>
      </c>
      <c r="F18" s="50" t="s">
        <v>260</v>
      </c>
      <c r="G18" s="81" t="s">
        <v>261</v>
      </c>
      <c r="H18" s="82" t="n">
        <v>2327.52</v>
      </c>
      <c r="I18" s="37" t="s">
        <v>226</v>
      </c>
      <c r="J18" s="37" t="s">
        <v>77</v>
      </c>
      <c r="K18" s="37" t="str">
        <f aca="false">TRIM(IF($B18="UNASSIGNED","NO COST CENTRE ","")&amp;IF(ISNA(MATCH($C18,Mapping!$B$7:$B$36,0)),"UNMAPPED ","")&amp;IF(COUNTIFS($C$4:$C18,$C18,$F$4:$F18,$F18,$H$4:$H18,$H18)&gt;1,"DUPLICATE ","")&amp;IF(AND(NOT(ISNA(MATCH($C18,Mapping!$B$7:$B$36,0))),$H18&lt;-'Control Panel'!$E$16),"CREDIT ","")&amp;IF(AND(NOT(ISNA(MATCH($C18,Mapping!$B$7:$B$36,0))),COUNTIFS(Budget!$B$4:$B$107,$B18,Budget!$C$4:$C$107,$D18)=0),"NO BUDGET ",""))</f>
        <v/>
      </c>
      <c r="L18" s="83" t="str">
        <f aca="false">IF($K18="","OK",$K18)</f>
        <v>OK</v>
      </c>
      <c r="M18" s="47" t="str">
        <f aca="false">IF(EXACT($L18,$I18),"ok","CHECK")</f>
        <v>ok</v>
      </c>
    </row>
    <row r="19" customFormat="false" ht="12" hidden="false" customHeight="true" outlineLevel="0" collapsed="false">
      <c r="B19" s="50" t="s">
        <v>145</v>
      </c>
      <c r="C19" s="50" t="s">
        <v>238</v>
      </c>
      <c r="D19" s="79" t="s">
        <v>110</v>
      </c>
      <c r="E19" s="80" t="n">
        <v>46180</v>
      </c>
      <c r="F19" s="50" t="s">
        <v>262</v>
      </c>
      <c r="G19" s="81" t="s">
        <v>240</v>
      </c>
      <c r="H19" s="82" t="n">
        <v>4052.25</v>
      </c>
      <c r="I19" s="37" t="s">
        <v>226</v>
      </c>
      <c r="J19" s="37" t="s">
        <v>77</v>
      </c>
      <c r="K19" s="37" t="str">
        <f aca="false">TRIM(IF($B19="UNASSIGNED","NO COST CENTRE ","")&amp;IF(ISNA(MATCH($C19,Mapping!$B$7:$B$36,0)),"UNMAPPED ","")&amp;IF(COUNTIFS($C$4:$C19,$C19,$F$4:$F19,$F19,$H$4:$H19,$H19)&gt;1,"DUPLICATE ","")&amp;IF(AND(NOT(ISNA(MATCH($C19,Mapping!$B$7:$B$36,0))),$H19&lt;-'Control Panel'!$E$16),"CREDIT ","")&amp;IF(AND(NOT(ISNA(MATCH($C19,Mapping!$B$7:$B$36,0))),COUNTIFS(Budget!$B$4:$B$107,$B19,Budget!$C$4:$C$107,$D19)=0),"NO BUDGET ",""))</f>
        <v/>
      </c>
      <c r="L19" s="83" t="str">
        <f aca="false">IF($K19="","OK",$K19)</f>
        <v>OK</v>
      </c>
      <c r="M19" s="47" t="str">
        <f aca="false">IF(EXACT($L19,$I19),"ok","CHECK")</f>
        <v>ok</v>
      </c>
    </row>
    <row r="20" customFormat="false" ht="12" hidden="false" customHeight="true" outlineLevel="0" collapsed="false">
      <c r="B20" s="50" t="s">
        <v>145</v>
      </c>
      <c r="C20" s="50" t="s">
        <v>247</v>
      </c>
      <c r="D20" s="79" t="s">
        <v>110</v>
      </c>
      <c r="E20" s="80" t="n">
        <v>46180</v>
      </c>
      <c r="F20" s="50" t="s">
        <v>263</v>
      </c>
      <c r="G20" s="81" t="s">
        <v>240</v>
      </c>
      <c r="H20" s="82" t="n">
        <v>2325.06</v>
      </c>
      <c r="I20" s="37" t="s">
        <v>226</v>
      </c>
      <c r="J20" s="37" t="s">
        <v>77</v>
      </c>
      <c r="K20" s="37" t="str">
        <f aca="false">TRIM(IF($B20="UNASSIGNED","NO COST CENTRE ","")&amp;IF(ISNA(MATCH($C20,Mapping!$B$7:$B$36,0)),"UNMAPPED ","")&amp;IF(COUNTIFS($C$4:$C20,$C20,$F$4:$F20,$F20,$H$4:$H20,$H20)&gt;1,"DUPLICATE ","")&amp;IF(AND(NOT(ISNA(MATCH($C20,Mapping!$B$7:$B$36,0))),$H20&lt;-'Control Panel'!$E$16),"CREDIT ","")&amp;IF(AND(NOT(ISNA(MATCH($C20,Mapping!$B$7:$B$36,0))),COUNTIFS(Budget!$B$4:$B$107,$B20,Budget!$C$4:$C$107,$D20)=0),"NO BUDGET ",""))</f>
        <v/>
      </c>
      <c r="L20" s="83" t="str">
        <f aca="false">IF($K20="","OK",$K20)</f>
        <v>OK</v>
      </c>
      <c r="M20" s="47" t="str">
        <f aca="false">IF(EXACT($L20,$I20),"ok","CHECK")</f>
        <v>ok</v>
      </c>
    </row>
    <row r="21" customFormat="false" ht="12" hidden="false" customHeight="true" outlineLevel="0" collapsed="false">
      <c r="B21" s="50" t="s">
        <v>145</v>
      </c>
      <c r="C21" s="50" t="s">
        <v>223</v>
      </c>
      <c r="D21" s="79" t="s">
        <v>113</v>
      </c>
      <c r="E21" s="80" t="n">
        <v>46180</v>
      </c>
      <c r="F21" s="50" t="s">
        <v>264</v>
      </c>
      <c r="G21" s="81" t="s">
        <v>234</v>
      </c>
      <c r="H21" s="82" t="n">
        <v>1201.11</v>
      </c>
      <c r="I21" s="37" t="s">
        <v>226</v>
      </c>
      <c r="J21" s="37" t="s">
        <v>77</v>
      </c>
      <c r="K21" s="37" t="str">
        <f aca="false">TRIM(IF($B21="UNASSIGNED","NO COST CENTRE ","")&amp;IF(ISNA(MATCH($C21,Mapping!$B$7:$B$36,0)),"UNMAPPED ","")&amp;IF(COUNTIFS($C$4:$C21,$C21,$F$4:$F21,$F21,$H$4:$H21,$H21)&gt;1,"DUPLICATE ","")&amp;IF(AND(NOT(ISNA(MATCH($C21,Mapping!$B$7:$B$36,0))),$H21&lt;-'Control Panel'!$E$16),"CREDIT ","")&amp;IF(AND(NOT(ISNA(MATCH($C21,Mapping!$B$7:$B$36,0))),COUNTIFS(Budget!$B$4:$B$107,$B21,Budget!$C$4:$C$107,$D21)=0),"NO BUDGET ",""))</f>
        <v/>
      </c>
      <c r="L21" s="83" t="str">
        <f aca="false">IF($K21="","OK",$K21)</f>
        <v>OK</v>
      </c>
      <c r="M21" s="47" t="str">
        <f aca="false">IF(EXACT($L21,$I21),"ok","CHECK")</f>
        <v>ok</v>
      </c>
    </row>
    <row r="22" customFormat="false" ht="12" hidden="false" customHeight="true" outlineLevel="0" collapsed="false">
      <c r="B22" s="50" t="s">
        <v>145</v>
      </c>
      <c r="C22" s="50" t="s">
        <v>238</v>
      </c>
      <c r="D22" s="79" t="s">
        <v>110</v>
      </c>
      <c r="E22" s="80" t="n">
        <v>46180</v>
      </c>
      <c r="F22" s="50" t="s">
        <v>265</v>
      </c>
      <c r="G22" s="81" t="s">
        <v>249</v>
      </c>
      <c r="H22" s="82" t="n">
        <v>4419.92</v>
      </c>
      <c r="I22" s="37" t="s">
        <v>226</v>
      </c>
      <c r="J22" s="37" t="s">
        <v>77</v>
      </c>
      <c r="K22" s="37" t="str">
        <f aca="false">TRIM(IF($B22="UNASSIGNED","NO COST CENTRE ","")&amp;IF(ISNA(MATCH($C22,Mapping!$B$7:$B$36,0)),"UNMAPPED ","")&amp;IF(COUNTIFS($C$4:$C22,$C22,$F$4:$F22,$F22,$H$4:$H22,$H22)&gt;1,"DUPLICATE ","")&amp;IF(AND(NOT(ISNA(MATCH($C22,Mapping!$B$7:$B$36,0))),$H22&lt;-'Control Panel'!$E$16),"CREDIT ","")&amp;IF(AND(NOT(ISNA(MATCH($C22,Mapping!$B$7:$B$36,0))),COUNTIFS(Budget!$B$4:$B$107,$B22,Budget!$C$4:$C$107,$D22)=0),"NO BUDGET ",""))</f>
        <v/>
      </c>
      <c r="L22" s="83" t="str">
        <f aca="false">IF($K22="","OK",$K22)</f>
        <v>OK</v>
      </c>
      <c r="M22" s="47" t="str">
        <f aca="false">IF(EXACT($L22,$I22),"ok","CHECK")</f>
        <v>ok</v>
      </c>
    </row>
    <row r="23" customFormat="false" ht="12" hidden="false" customHeight="true" outlineLevel="0" collapsed="false">
      <c r="B23" s="50" t="s">
        <v>145</v>
      </c>
      <c r="C23" s="50" t="s">
        <v>266</v>
      </c>
      <c r="D23" s="79" t="s">
        <v>109</v>
      </c>
      <c r="E23" s="80" t="n">
        <v>46181</v>
      </c>
      <c r="F23" s="50" t="s">
        <v>267</v>
      </c>
      <c r="G23" s="81" t="s">
        <v>268</v>
      </c>
      <c r="H23" s="82" t="n">
        <v>1248.28</v>
      </c>
      <c r="I23" s="37" t="s">
        <v>226</v>
      </c>
      <c r="J23" s="37" t="s">
        <v>77</v>
      </c>
      <c r="K23" s="37" t="str">
        <f aca="false">TRIM(IF($B23="UNASSIGNED","NO COST CENTRE ","")&amp;IF(ISNA(MATCH($C23,Mapping!$B$7:$B$36,0)),"UNMAPPED ","")&amp;IF(COUNTIFS($C$4:$C23,$C23,$F$4:$F23,$F23,$H$4:$H23,$H23)&gt;1,"DUPLICATE ","")&amp;IF(AND(NOT(ISNA(MATCH($C23,Mapping!$B$7:$B$36,0))),$H23&lt;-'Control Panel'!$E$16),"CREDIT ","")&amp;IF(AND(NOT(ISNA(MATCH($C23,Mapping!$B$7:$B$36,0))),COUNTIFS(Budget!$B$4:$B$107,$B23,Budget!$C$4:$C$107,$D23)=0),"NO BUDGET ",""))</f>
        <v/>
      </c>
      <c r="L23" s="83" t="str">
        <f aca="false">IF($K23="","OK",$K23)</f>
        <v>OK</v>
      </c>
      <c r="M23" s="47" t="str">
        <f aca="false">IF(EXACT($L23,$I23),"ok","CHECK")</f>
        <v>ok</v>
      </c>
    </row>
    <row r="24" customFormat="false" ht="12" hidden="false" customHeight="true" outlineLevel="0" collapsed="false">
      <c r="B24" s="50" t="s">
        <v>145</v>
      </c>
      <c r="C24" s="50" t="s">
        <v>247</v>
      </c>
      <c r="D24" s="79" t="s">
        <v>110</v>
      </c>
      <c r="E24" s="80" t="n">
        <v>46181</v>
      </c>
      <c r="F24" s="50" t="s">
        <v>269</v>
      </c>
      <c r="G24" s="81" t="s">
        <v>270</v>
      </c>
      <c r="H24" s="82" t="n">
        <v>3778.13</v>
      </c>
      <c r="I24" s="37" t="s">
        <v>226</v>
      </c>
      <c r="J24" s="37" t="s">
        <v>77</v>
      </c>
      <c r="K24" s="37" t="str">
        <f aca="false">TRIM(IF($B24="UNASSIGNED","NO COST CENTRE ","")&amp;IF(ISNA(MATCH($C24,Mapping!$B$7:$B$36,0)),"UNMAPPED ","")&amp;IF(COUNTIFS($C$4:$C24,$C24,$F$4:$F24,$F24,$H$4:$H24,$H24)&gt;1,"DUPLICATE ","")&amp;IF(AND(NOT(ISNA(MATCH($C24,Mapping!$B$7:$B$36,0))),$H24&lt;-'Control Panel'!$E$16),"CREDIT ","")&amp;IF(AND(NOT(ISNA(MATCH($C24,Mapping!$B$7:$B$36,0))),COUNTIFS(Budget!$B$4:$B$107,$B24,Budget!$C$4:$C$107,$D24)=0),"NO BUDGET ",""))</f>
        <v/>
      </c>
      <c r="L24" s="83" t="str">
        <f aca="false">IF($K24="","OK",$K24)</f>
        <v>OK</v>
      </c>
      <c r="M24" s="47" t="str">
        <f aca="false">IF(EXACT($L24,$I24),"ok","CHECK")</f>
        <v>ok</v>
      </c>
    </row>
    <row r="25" customFormat="false" ht="12" hidden="false" customHeight="true" outlineLevel="0" collapsed="false">
      <c r="B25" s="50" t="s">
        <v>145</v>
      </c>
      <c r="C25" s="50" t="s">
        <v>266</v>
      </c>
      <c r="D25" s="79" t="s">
        <v>109</v>
      </c>
      <c r="E25" s="80" t="n">
        <v>46182</v>
      </c>
      <c r="F25" s="50" t="s">
        <v>271</v>
      </c>
      <c r="G25" s="81" t="s">
        <v>272</v>
      </c>
      <c r="H25" s="82" t="n">
        <v>1052.19</v>
      </c>
      <c r="I25" s="37" t="s">
        <v>226</v>
      </c>
      <c r="J25" s="37" t="s">
        <v>77</v>
      </c>
      <c r="K25" s="37" t="str">
        <f aca="false">TRIM(IF($B25="UNASSIGNED","NO COST CENTRE ","")&amp;IF(ISNA(MATCH($C25,Mapping!$B$7:$B$36,0)),"UNMAPPED ","")&amp;IF(COUNTIFS($C$4:$C25,$C25,$F$4:$F25,$F25,$H$4:$H25,$H25)&gt;1,"DUPLICATE ","")&amp;IF(AND(NOT(ISNA(MATCH($C25,Mapping!$B$7:$B$36,0))),$H25&lt;-'Control Panel'!$E$16),"CREDIT ","")&amp;IF(AND(NOT(ISNA(MATCH($C25,Mapping!$B$7:$B$36,0))),COUNTIFS(Budget!$B$4:$B$107,$B25,Budget!$C$4:$C$107,$D25)=0),"NO BUDGET ",""))</f>
        <v/>
      </c>
      <c r="L25" s="83" t="str">
        <f aca="false">IF($K25="","OK",$K25)</f>
        <v>OK</v>
      </c>
      <c r="M25" s="47" t="str">
        <f aca="false">IF(EXACT($L25,$I25),"ok","CHECK")</f>
        <v>ok</v>
      </c>
    </row>
    <row r="26" customFormat="false" ht="12" hidden="false" customHeight="true" outlineLevel="0" collapsed="false">
      <c r="B26" s="50" t="s">
        <v>145</v>
      </c>
      <c r="C26" s="50" t="s">
        <v>273</v>
      </c>
      <c r="D26" s="79" t="s">
        <v>114</v>
      </c>
      <c r="E26" s="80" t="n">
        <v>46182</v>
      </c>
      <c r="F26" s="50" t="s">
        <v>274</v>
      </c>
      <c r="G26" s="81" t="s">
        <v>275</v>
      </c>
      <c r="H26" s="82" t="n">
        <v>1183.52</v>
      </c>
      <c r="I26" s="37" t="s">
        <v>226</v>
      </c>
      <c r="J26" s="37" t="s">
        <v>77</v>
      </c>
      <c r="K26" s="37" t="str">
        <f aca="false">TRIM(IF($B26="UNASSIGNED","NO COST CENTRE ","")&amp;IF(ISNA(MATCH($C26,Mapping!$B$7:$B$36,0)),"UNMAPPED ","")&amp;IF(COUNTIFS($C$4:$C26,$C26,$F$4:$F26,$F26,$H$4:$H26,$H26)&gt;1,"DUPLICATE ","")&amp;IF(AND(NOT(ISNA(MATCH($C26,Mapping!$B$7:$B$36,0))),$H26&lt;-'Control Panel'!$E$16),"CREDIT ","")&amp;IF(AND(NOT(ISNA(MATCH($C26,Mapping!$B$7:$B$36,0))),COUNTIFS(Budget!$B$4:$B$107,$B26,Budget!$C$4:$C$107,$D26)=0),"NO BUDGET ",""))</f>
        <v/>
      </c>
      <c r="L26" s="83" t="str">
        <f aca="false">IF($K26="","OK",$K26)</f>
        <v>OK</v>
      </c>
      <c r="M26" s="47" t="str">
        <f aca="false">IF(EXACT($L26,$I26),"ok","CHECK")</f>
        <v>ok</v>
      </c>
    </row>
    <row r="27" customFormat="false" ht="12" hidden="false" customHeight="true" outlineLevel="0" collapsed="false">
      <c r="B27" s="50" t="s">
        <v>145</v>
      </c>
      <c r="C27" s="50" t="s">
        <v>230</v>
      </c>
      <c r="D27" s="79" t="s">
        <v>115</v>
      </c>
      <c r="E27" s="80" t="n">
        <v>46182</v>
      </c>
      <c r="F27" s="50" t="s">
        <v>276</v>
      </c>
      <c r="G27" s="81" t="s">
        <v>232</v>
      </c>
      <c r="H27" s="82" t="n">
        <v>1062.88</v>
      </c>
      <c r="I27" s="37" t="s">
        <v>226</v>
      </c>
      <c r="J27" s="37" t="s">
        <v>77</v>
      </c>
      <c r="K27" s="37" t="str">
        <f aca="false">TRIM(IF($B27="UNASSIGNED","NO COST CENTRE ","")&amp;IF(ISNA(MATCH($C27,Mapping!$B$7:$B$36,0)),"UNMAPPED ","")&amp;IF(COUNTIFS($C$4:$C27,$C27,$F$4:$F27,$F27,$H$4:$H27,$H27)&gt;1,"DUPLICATE ","")&amp;IF(AND(NOT(ISNA(MATCH($C27,Mapping!$B$7:$B$36,0))),$H27&lt;-'Control Panel'!$E$16),"CREDIT ","")&amp;IF(AND(NOT(ISNA(MATCH($C27,Mapping!$B$7:$B$36,0))),COUNTIFS(Budget!$B$4:$B$107,$B27,Budget!$C$4:$C$107,$D27)=0),"NO BUDGET ",""))</f>
        <v/>
      </c>
      <c r="L27" s="83" t="str">
        <f aca="false">IF($K27="","OK",$K27)</f>
        <v>OK</v>
      </c>
      <c r="M27" s="47" t="str">
        <f aca="false">IF(EXACT($L27,$I27),"ok","CHECK")</f>
        <v>ok</v>
      </c>
    </row>
    <row r="28" customFormat="false" ht="12" hidden="false" customHeight="true" outlineLevel="0" collapsed="false">
      <c r="B28" s="50" t="s">
        <v>145</v>
      </c>
      <c r="C28" s="50" t="s">
        <v>266</v>
      </c>
      <c r="D28" s="79" t="s">
        <v>109</v>
      </c>
      <c r="E28" s="80" t="n">
        <v>46182</v>
      </c>
      <c r="F28" s="50" t="s">
        <v>277</v>
      </c>
      <c r="G28" s="81" t="s">
        <v>278</v>
      </c>
      <c r="H28" s="82" t="n">
        <v>1325.02</v>
      </c>
      <c r="I28" s="37" t="s">
        <v>226</v>
      </c>
      <c r="J28" s="37" t="s">
        <v>77</v>
      </c>
      <c r="K28" s="37" t="str">
        <f aca="false">TRIM(IF($B28="UNASSIGNED","NO COST CENTRE ","")&amp;IF(ISNA(MATCH($C28,Mapping!$B$7:$B$36,0)),"UNMAPPED ","")&amp;IF(COUNTIFS($C$4:$C28,$C28,$F$4:$F28,$F28,$H$4:$H28,$H28)&gt;1,"DUPLICATE ","")&amp;IF(AND(NOT(ISNA(MATCH($C28,Mapping!$B$7:$B$36,0))),$H28&lt;-'Control Panel'!$E$16),"CREDIT ","")&amp;IF(AND(NOT(ISNA(MATCH($C28,Mapping!$B$7:$B$36,0))),COUNTIFS(Budget!$B$4:$B$107,$B28,Budget!$C$4:$C$107,$D28)=0),"NO BUDGET ",""))</f>
        <v/>
      </c>
      <c r="L28" s="83" t="str">
        <f aca="false">IF($K28="","OK",$K28)</f>
        <v>OK</v>
      </c>
      <c r="M28" s="47" t="str">
        <f aca="false">IF(EXACT($L28,$I28),"ok","CHECK")</f>
        <v>ok</v>
      </c>
    </row>
    <row r="29" customFormat="false" ht="12" hidden="false" customHeight="true" outlineLevel="0" collapsed="false">
      <c r="B29" s="50" t="s">
        <v>145</v>
      </c>
      <c r="C29" s="50" t="s">
        <v>279</v>
      </c>
      <c r="D29" s="79" t="s">
        <v>118</v>
      </c>
      <c r="E29" s="80" t="n">
        <v>46183</v>
      </c>
      <c r="F29" s="50" t="s">
        <v>280</v>
      </c>
      <c r="G29" s="81" t="s">
        <v>281</v>
      </c>
      <c r="H29" s="82" t="n">
        <v>888.93</v>
      </c>
      <c r="I29" s="37" t="s">
        <v>226</v>
      </c>
      <c r="J29" s="37" t="s">
        <v>77</v>
      </c>
      <c r="K29" s="37" t="str">
        <f aca="false">TRIM(IF($B29="UNASSIGNED","NO COST CENTRE ","")&amp;IF(ISNA(MATCH($C29,Mapping!$B$7:$B$36,0)),"UNMAPPED ","")&amp;IF(COUNTIFS($C$4:$C29,$C29,$F$4:$F29,$F29,$H$4:$H29,$H29)&gt;1,"DUPLICATE ","")&amp;IF(AND(NOT(ISNA(MATCH($C29,Mapping!$B$7:$B$36,0))),$H29&lt;-'Control Panel'!$E$16),"CREDIT ","")&amp;IF(AND(NOT(ISNA(MATCH($C29,Mapping!$B$7:$B$36,0))),COUNTIFS(Budget!$B$4:$B$107,$B29,Budget!$C$4:$C$107,$D29)=0),"NO BUDGET ",""))</f>
        <v/>
      </c>
      <c r="L29" s="83" t="str">
        <f aca="false">IF($K29="","OK",$K29)</f>
        <v>OK</v>
      </c>
      <c r="M29" s="47" t="str">
        <f aca="false">IF(EXACT($L29,$I29),"ok","CHECK")</f>
        <v>ok</v>
      </c>
    </row>
    <row r="30" customFormat="false" ht="12" hidden="false" customHeight="true" outlineLevel="0" collapsed="false">
      <c r="B30" s="50" t="s">
        <v>145</v>
      </c>
      <c r="C30" s="50" t="s">
        <v>282</v>
      </c>
      <c r="D30" s="79" t="s">
        <v>112</v>
      </c>
      <c r="E30" s="80" t="n">
        <v>46184</v>
      </c>
      <c r="F30" s="50" t="s">
        <v>283</v>
      </c>
      <c r="G30" s="81" t="s">
        <v>284</v>
      </c>
      <c r="H30" s="82" t="n">
        <v>14156.41</v>
      </c>
      <c r="I30" s="37" t="s">
        <v>226</v>
      </c>
      <c r="J30" s="37" t="s">
        <v>77</v>
      </c>
      <c r="K30" s="37" t="str">
        <f aca="false">TRIM(IF($B30="UNASSIGNED","NO COST CENTRE ","")&amp;IF(ISNA(MATCH($C30,Mapping!$B$7:$B$36,0)),"UNMAPPED ","")&amp;IF(COUNTIFS($C$4:$C30,$C30,$F$4:$F30,$F30,$H$4:$H30,$H30)&gt;1,"DUPLICATE ","")&amp;IF(AND(NOT(ISNA(MATCH($C30,Mapping!$B$7:$B$36,0))),$H30&lt;-'Control Panel'!$E$16),"CREDIT ","")&amp;IF(AND(NOT(ISNA(MATCH($C30,Mapping!$B$7:$B$36,0))),COUNTIFS(Budget!$B$4:$B$107,$B30,Budget!$C$4:$C$107,$D30)=0),"NO BUDGET ",""))</f>
        <v/>
      </c>
      <c r="L30" s="83" t="str">
        <f aca="false">IF($K30="","OK",$K30)</f>
        <v>OK</v>
      </c>
      <c r="M30" s="47" t="str">
        <f aca="false">IF(EXACT($L30,$I30),"ok","CHECK")</f>
        <v>ok</v>
      </c>
    </row>
    <row r="31" customFormat="false" ht="12" hidden="false" customHeight="true" outlineLevel="0" collapsed="false">
      <c r="B31" s="50" t="s">
        <v>145</v>
      </c>
      <c r="C31" s="50" t="s">
        <v>238</v>
      </c>
      <c r="D31" s="79" t="s">
        <v>110</v>
      </c>
      <c r="E31" s="80" t="n">
        <v>46186</v>
      </c>
      <c r="F31" s="50" t="s">
        <v>285</v>
      </c>
      <c r="G31" s="81" t="s">
        <v>249</v>
      </c>
      <c r="H31" s="82" t="n">
        <v>3455.84</v>
      </c>
      <c r="I31" s="37" t="s">
        <v>226</v>
      </c>
      <c r="J31" s="37" t="s">
        <v>77</v>
      </c>
      <c r="K31" s="37" t="str">
        <f aca="false">TRIM(IF($B31="UNASSIGNED","NO COST CENTRE ","")&amp;IF(ISNA(MATCH($C31,Mapping!$B$7:$B$36,0)),"UNMAPPED ","")&amp;IF(COUNTIFS($C$4:$C31,$C31,$F$4:$F31,$F31,$H$4:$H31,$H31)&gt;1,"DUPLICATE ","")&amp;IF(AND(NOT(ISNA(MATCH($C31,Mapping!$B$7:$B$36,0))),$H31&lt;-'Control Panel'!$E$16),"CREDIT ","")&amp;IF(AND(NOT(ISNA(MATCH($C31,Mapping!$B$7:$B$36,0))),COUNTIFS(Budget!$B$4:$B$107,$B31,Budget!$C$4:$C$107,$D31)=0),"NO BUDGET ",""))</f>
        <v/>
      </c>
      <c r="L31" s="83" t="str">
        <f aca="false">IF($K31="","OK",$K31)</f>
        <v>OK</v>
      </c>
      <c r="M31" s="47" t="str">
        <f aca="false">IF(EXACT($L31,$I31),"ok","CHECK")</f>
        <v>ok</v>
      </c>
    </row>
    <row r="32" customFormat="false" ht="12" hidden="false" customHeight="true" outlineLevel="0" collapsed="false">
      <c r="B32" s="50" t="s">
        <v>145</v>
      </c>
      <c r="C32" s="50" t="s">
        <v>238</v>
      </c>
      <c r="D32" s="79" t="s">
        <v>110</v>
      </c>
      <c r="E32" s="80" t="n">
        <v>46186</v>
      </c>
      <c r="F32" s="50" t="s">
        <v>286</v>
      </c>
      <c r="G32" s="81" t="s">
        <v>249</v>
      </c>
      <c r="H32" s="82" t="n">
        <v>4295.72</v>
      </c>
      <c r="I32" s="37" t="s">
        <v>226</v>
      </c>
      <c r="J32" s="37" t="s">
        <v>77</v>
      </c>
      <c r="K32" s="37" t="str">
        <f aca="false">TRIM(IF($B32="UNASSIGNED","NO COST CENTRE ","")&amp;IF(ISNA(MATCH($C32,Mapping!$B$7:$B$36,0)),"UNMAPPED ","")&amp;IF(COUNTIFS($C$4:$C32,$C32,$F$4:$F32,$F32,$H$4:$H32,$H32)&gt;1,"DUPLICATE ","")&amp;IF(AND(NOT(ISNA(MATCH($C32,Mapping!$B$7:$B$36,0))),$H32&lt;-'Control Panel'!$E$16),"CREDIT ","")&amp;IF(AND(NOT(ISNA(MATCH($C32,Mapping!$B$7:$B$36,0))),COUNTIFS(Budget!$B$4:$B$107,$B32,Budget!$C$4:$C$107,$D32)=0),"NO BUDGET ",""))</f>
        <v/>
      </c>
      <c r="L32" s="83" t="str">
        <f aca="false">IF($K32="","OK",$K32)</f>
        <v>OK</v>
      </c>
      <c r="M32" s="47" t="str">
        <f aca="false">IF(EXACT($L32,$I32),"ok","CHECK")</f>
        <v>ok</v>
      </c>
    </row>
    <row r="33" customFormat="false" ht="12" hidden="false" customHeight="true" outlineLevel="0" collapsed="false">
      <c r="B33" s="50" t="s">
        <v>145</v>
      </c>
      <c r="C33" s="50" t="s">
        <v>259</v>
      </c>
      <c r="D33" s="79" t="s">
        <v>111</v>
      </c>
      <c r="E33" s="80" t="n">
        <v>46187</v>
      </c>
      <c r="F33" s="50" t="s">
        <v>287</v>
      </c>
      <c r="G33" s="81" t="s">
        <v>288</v>
      </c>
      <c r="H33" s="82" t="n">
        <v>2805.43</v>
      </c>
      <c r="I33" s="37" t="s">
        <v>226</v>
      </c>
      <c r="J33" s="37" t="s">
        <v>77</v>
      </c>
      <c r="K33" s="37" t="str">
        <f aca="false">TRIM(IF($B33="UNASSIGNED","NO COST CENTRE ","")&amp;IF(ISNA(MATCH($C33,Mapping!$B$7:$B$36,0)),"UNMAPPED ","")&amp;IF(COUNTIFS($C$4:$C33,$C33,$F$4:$F33,$F33,$H$4:$H33,$H33)&gt;1,"DUPLICATE ","")&amp;IF(AND(NOT(ISNA(MATCH($C33,Mapping!$B$7:$B$36,0))),$H33&lt;-'Control Panel'!$E$16),"CREDIT ","")&amp;IF(AND(NOT(ISNA(MATCH($C33,Mapping!$B$7:$B$36,0))),COUNTIFS(Budget!$B$4:$B$107,$B33,Budget!$C$4:$C$107,$D33)=0),"NO BUDGET ",""))</f>
        <v/>
      </c>
      <c r="L33" s="83" t="str">
        <f aca="false">IF($K33="","OK",$K33)</f>
        <v>OK</v>
      </c>
      <c r="M33" s="47" t="str">
        <f aca="false">IF(EXACT($L33,$I33),"ok","CHECK")</f>
        <v>ok</v>
      </c>
    </row>
    <row r="34" customFormat="false" ht="12" hidden="false" customHeight="true" outlineLevel="0" collapsed="false">
      <c r="B34" s="50" t="s">
        <v>145</v>
      </c>
      <c r="C34" s="50" t="s">
        <v>289</v>
      </c>
      <c r="D34" s="79" t="s">
        <v>111</v>
      </c>
      <c r="E34" s="80" t="n">
        <v>46187</v>
      </c>
      <c r="F34" s="50" t="s">
        <v>290</v>
      </c>
      <c r="G34" s="81" t="s">
        <v>291</v>
      </c>
      <c r="H34" s="82" t="n">
        <v>4352.33</v>
      </c>
      <c r="I34" s="37" t="s">
        <v>226</v>
      </c>
      <c r="J34" s="37" t="s">
        <v>77</v>
      </c>
      <c r="K34" s="37" t="str">
        <f aca="false">TRIM(IF($B34="UNASSIGNED","NO COST CENTRE ","")&amp;IF(ISNA(MATCH($C34,Mapping!$B$7:$B$36,0)),"UNMAPPED ","")&amp;IF(COUNTIFS($C$4:$C34,$C34,$F$4:$F34,$F34,$H$4:$H34,$H34)&gt;1,"DUPLICATE ","")&amp;IF(AND(NOT(ISNA(MATCH($C34,Mapping!$B$7:$B$36,0))),$H34&lt;-'Control Panel'!$E$16),"CREDIT ","")&amp;IF(AND(NOT(ISNA(MATCH($C34,Mapping!$B$7:$B$36,0))),COUNTIFS(Budget!$B$4:$B$107,$B34,Budget!$C$4:$C$107,$D34)=0),"NO BUDGET ",""))</f>
        <v/>
      </c>
      <c r="L34" s="83" t="str">
        <f aca="false">IF($K34="","OK",$K34)</f>
        <v>OK</v>
      </c>
      <c r="M34" s="47" t="str">
        <f aca="false">IF(EXACT($L34,$I34),"ok","CHECK")</f>
        <v>ok</v>
      </c>
    </row>
    <row r="35" customFormat="false" ht="12" hidden="false" customHeight="true" outlineLevel="0" collapsed="false">
      <c r="B35" s="50" t="s">
        <v>145</v>
      </c>
      <c r="C35" s="50" t="s">
        <v>266</v>
      </c>
      <c r="D35" s="79" t="s">
        <v>109</v>
      </c>
      <c r="E35" s="80" t="n">
        <v>46187</v>
      </c>
      <c r="F35" s="50" t="s">
        <v>292</v>
      </c>
      <c r="G35" s="81" t="s">
        <v>293</v>
      </c>
      <c r="H35" s="82" t="n">
        <v>1029.83</v>
      </c>
      <c r="I35" s="37" t="s">
        <v>226</v>
      </c>
      <c r="J35" s="37" t="s">
        <v>77</v>
      </c>
      <c r="K35" s="37" t="str">
        <f aca="false">TRIM(IF($B35="UNASSIGNED","NO COST CENTRE ","")&amp;IF(ISNA(MATCH($C35,Mapping!$B$7:$B$36,0)),"UNMAPPED ","")&amp;IF(COUNTIFS($C$4:$C35,$C35,$F$4:$F35,$F35,$H$4:$H35,$H35)&gt;1,"DUPLICATE ","")&amp;IF(AND(NOT(ISNA(MATCH($C35,Mapping!$B$7:$B$36,0))),$H35&lt;-'Control Panel'!$E$16),"CREDIT ","")&amp;IF(AND(NOT(ISNA(MATCH($C35,Mapping!$B$7:$B$36,0))),COUNTIFS(Budget!$B$4:$B$107,$B35,Budget!$C$4:$C$107,$D35)=0),"NO BUDGET ",""))</f>
        <v/>
      </c>
      <c r="L35" s="83" t="str">
        <f aca="false">IF($K35="","OK",$K35)</f>
        <v>OK</v>
      </c>
      <c r="M35" s="47" t="str">
        <f aca="false">IF(EXACT($L35,$I35),"ok","CHECK")</f>
        <v>ok</v>
      </c>
    </row>
    <row r="36" customFormat="false" ht="12" hidden="false" customHeight="true" outlineLevel="0" collapsed="false">
      <c r="B36" s="50" t="s">
        <v>145</v>
      </c>
      <c r="C36" s="50" t="s">
        <v>223</v>
      </c>
      <c r="D36" s="79" t="s">
        <v>113</v>
      </c>
      <c r="E36" s="80" t="n">
        <v>46187</v>
      </c>
      <c r="F36" s="50" t="s">
        <v>294</v>
      </c>
      <c r="G36" s="81" t="s">
        <v>295</v>
      </c>
      <c r="H36" s="82" t="n">
        <v>1162.84</v>
      </c>
      <c r="I36" s="37" t="s">
        <v>226</v>
      </c>
      <c r="J36" s="37" t="s">
        <v>77</v>
      </c>
      <c r="K36" s="37" t="str">
        <f aca="false">TRIM(IF($B36="UNASSIGNED","NO COST CENTRE ","")&amp;IF(ISNA(MATCH($C36,Mapping!$B$7:$B$36,0)),"UNMAPPED ","")&amp;IF(COUNTIFS($C$4:$C36,$C36,$F$4:$F36,$F36,$H$4:$H36,$H36)&gt;1,"DUPLICATE ","")&amp;IF(AND(NOT(ISNA(MATCH($C36,Mapping!$B$7:$B$36,0))),$H36&lt;-'Control Panel'!$E$16),"CREDIT ","")&amp;IF(AND(NOT(ISNA(MATCH($C36,Mapping!$B$7:$B$36,0))),COUNTIFS(Budget!$B$4:$B$107,$B36,Budget!$C$4:$C$107,$D36)=0),"NO BUDGET ",""))</f>
        <v/>
      </c>
      <c r="L36" s="83" t="str">
        <f aca="false">IF($K36="","OK",$K36)</f>
        <v>OK</v>
      </c>
      <c r="M36" s="47" t="str">
        <f aca="false">IF(EXACT($L36,$I36),"ok","CHECK")</f>
        <v>ok</v>
      </c>
    </row>
    <row r="37" customFormat="false" ht="12" hidden="false" customHeight="true" outlineLevel="0" collapsed="false">
      <c r="B37" s="50" t="s">
        <v>145</v>
      </c>
      <c r="C37" s="50" t="s">
        <v>247</v>
      </c>
      <c r="D37" s="79" t="s">
        <v>110</v>
      </c>
      <c r="E37" s="80" t="n">
        <v>46187</v>
      </c>
      <c r="F37" s="50" t="s">
        <v>296</v>
      </c>
      <c r="G37" s="81" t="s">
        <v>297</v>
      </c>
      <c r="H37" s="82" t="n">
        <v>2076.7</v>
      </c>
      <c r="I37" s="37" t="s">
        <v>226</v>
      </c>
      <c r="J37" s="37" t="s">
        <v>77</v>
      </c>
      <c r="K37" s="37" t="str">
        <f aca="false">TRIM(IF($B37="UNASSIGNED","NO COST CENTRE ","")&amp;IF(ISNA(MATCH($C37,Mapping!$B$7:$B$36,0)),"UNMAPPED ","")&amp;IF(COUNTIFS($C$4:$C37,$C37,$F$4:$F37,$F37,$H$4:$H37,$H37)&gt;1,"DUPLICATE ","")&amp;IF(AND(NOT(ISNA(MATCH($C37,Mapping!$B$7:$B$36,0))),$H37&lt;-'Control Panel'!$E$16),"CREDIT ","")&amp;IF(AND(NOT(ISNA(MATCH($C37,Mapping!$B$7:$B$36,0))),COUNTIFS(Budget!$B$4:$B$107,$B37,Budget!$C$4:$C$107,$D37)=0),"NO BUDGET ",""))</f>
        <v/>
      </c>
      <c r="L37" s="83" t="str">
        <f aca="false">IF($K37="","OK",$K37)</f>
        <v>OK</v>
      </c>
      <c r="M37" s="47" t="str">
        <f aca="false">IF(EXACT($L37,$I37),"ok","CHECK")</f>
        <v>ok</v>
      </c>
    </row>
    <row r="38" customFormat="false" ht="12" hidden="false" customHeight="true" outlineLevel="0" collapsed="false">
      <c r="B38" s="50" t="s">
        <v>145</v>
      </c>
      <c r="C38" s="50" t="s">
        <v>266</v>
      </c>
      <c r="D38" s="79" t="s">
        <v>109</v>
      </c>
      <c r="E38" s="80" t="n">
        <v>46187</v>
      </c>
      <c r="F38" s="50" t="s">
        <v>298</v>
      </c>
      <c r="G38" s="81" t="s">
        <v>299</v>
      </c>
      <c r="H38" s="82" t="n">
        <v>1079.47</v>
      </c>
      <c r="I38" s="37" t="s">
        <v>226</v>
      </c>
      <c r="J38" s="37" t="s">
        <v>77</v>
      </c>
      <c r="K38" s="37" t="str">
        <f aca="false">TRIM(IF($B38="UNASSIGNED","NO COST CENTRE ","")&amp;IF(ISNA(MATCH($C38,Mapping!$B$7:$B$36,0)),"UNMAPPED ","")&amp;IF(COUNTIFS($C$4:$C38,$C38,$F$4:$F38,$F38,$H$4:$H38,$H38)&gt;1,"DUPLICATE ","")&amp;IF(AND(NOT(ISNA(MATCH($C38,Mapping!$B$7:$B$36,0))),$H38&lt;-'Control Panel'!$E$16),"CREDIT ","")&amp;IF(AND(NOT(ISNA(MATCH($C38,Mapping!$B$7:$B$36,0))),COUNTIFS(Budget!$B$4:$B$107,$B38,Budget!$C$4:$C$107,$D38)=0),"NO BUDGET ",""))</f>
        <v/>
      </c>
      <c r="L38" s="83" t="str">
        <f aca="false">IF($K38="","OK",$K38)</f>
        <v>OK</v>
      </c>
      <c r="M38" s="47" t="str">
        <f aca="false">IF(EXACT($L38,$I38),"ok","CHECK")</f>
        <v>ok</v>
      </c>
    </row>
    <row r="39" customFormat="false" ht="12" hidden="false" customHeight="true" outlineLevel="0" collapsed="false">
      <c r="B39" s="50" t="s">
        <v>145</v>
      </c>
      <c r="C39" s="50" t="s">
        <v>289</v>
      </c>
      <c r="D39" s="79" t="s">
        <v>111</v>
      </c>
      <c r="E39" s="80" t="n">
        <v>46188</v>
      </c>
      <c r="F39" s="50" t="s">
        <v>300</v>
      </c>
      <c r="G39" s="81" t="s">
        <v>288</v>
      </c>
      <c r="H39" s="82" t="n">
        <v>4266.03</v>
      </c>
      <c r="I39" s="37" t="s">
        <v>226</v>
      </c>
      <c r="J39" s="37" t="s">
        <v>77</v>
      </c>
      <c r="K39" s="37" t="str">
        <f aca="false">TRIM(IF($B39="UNASSIGNED","NO COST CENTRE ","")&amp;IF(ISNA(MATCH($C39,Mapping!$B$7:$B$36,0)),"UNMAPPED ","")&amp;IF(COUNTIFS($C$4:$C39,$C39,$F$4:$F39,$F39,$H$4:$H39,$H39)&gt;1,"DUPLICATE ","")&amp;IF(AND(NOT(ISNA(MATCH($C39,Mapping!$B$7:$B$36,0))),$H39&lt;-'Control Panel'!$E$16),"CREDIT ","")&amp;IF(AND(NOT(ISNA(MATCH($C39,Mapping!$B$7:$B$36,0))),COUNTIFS(Budget!$B$4:$B$107,$B39,Budget!$C$4:$C$107,$D39)=0),"NO BUDGET ",""))</f>
        <v/>
      </c>
      <c r="L39" s="83" t="str">
        <f aca="false">IF($K39="","OK",$K39)</f>
        <v>OK</v>
      </c>
      <c r="M39" s="47" t="str">
        <f aca="false">IF(EXACT($L39,$I39),"ok","CHECK")</f>
        <v>ok</v>
      </c>
    </row>
    <row r="40" customFormat="false" ht="12" hidden="false" customHeight="true" outlineLevel="0" collapsed="false">
      <c r="B40" s="50" t="s">
        <v>145</v>
      </c>
      <c r="C40" s="50" t="s">
        <v>301</v>
      </c>
      <c r="D40" s="79" t="s">
        <v>122</v>
      </c>
      <c r="E40" s="80" t="n">
        <v>46188</v>
      </c>
      <c r="F40" s="50" t="s">
        <v>302</v>
      </c>
      <c r="G40" s="81" t="s">
        <v>237</v>
      </c>
      <c r="H40" s="82" t="n">
        <v>13622.03</v>
      </c>
      <c r="I40" s="37" t="s">
        <v>226</v>
      </c>
      <c r="J40" s="37" t="s">
        <v>77</v>
      </c>
      <c r="K40" s="37" t="str">
        <f aca="false">TRIM(IF($B40="UNASSIGNED","NO COST CENTRE ","")&amp;IF(ISNA(MATCH($C40,Mapping!$B$7:$B$36,0)),"UNMAPPED ","")&amp;IF(COUNTIFS($C$4:$C40,$C40,$F$4:$F40,$F40,$H$4:$H40,$H40)&gt;1,"DUPLICATE ","")&amp;IF(AND(NOT(ISNA(MATCH($C40,Mapping!$B$7:$B$36,0))),$H40&lt;-'Control Panel'!$E$16),"CREDIT ","")&amp;IF(AND(NOT(ISNA(MATCH($C40,Mapping!$B$7:$B$36,0))),COUNTIFS(Budget!$B$4:$B$107,$B40,Budget!$C$4:$C$107,$D40)=0),"NO BUDGET ",""))</f>
        <v/>
      </c>
      <c r="L40" s="83" t="str">
        <f aca="false">IF($K40="","OK",$K40)</f>
        <v>OK</v>
      </c>
      <c r="M40" s="47" t="str">
        <f aca="false">IF(EXACT($L40,$I40),"ok","CHECK")</f>
        <v>ok</v>
      </c>
    </row>
    <row r="41" customFormat="false" ht="12" hidden="false" customHeight="true" outlineLevel="0" collapsed="false">
      <c r="B41" s="50" t="s">
        <v>145</v>
      </c>
      <c r="C41" s="50" t="s">
        <v>266</v>
      </c>
      <c r="D41" s="79" t="s">
        <v>109</v>
      </c>
      <c r="E41" s="80" t="n">
        <v>46188</v>
      </c>
      <c r="F41" s="50" t="s">
        <v>303</v>
      </c>
      <c r="G41" s="81" t="s">
        <v>304</v>
      </c>
      <c r="H41" s="82" t="n">
        <v>1875.19</v>
      </c>
      <c r="I41" s="37" t="s">
        <v>226</v>
      </c>
      <c r="J41" s="37" t="s">
        <v>77</v>
      </c>
      <c r="K41" s="37" t="str">
        <f aca="false">TRIM(IF($B41="UNASSIGNED","NO COST CENTRE ","")&amp;IF(ISNA(MATCH($C41,Mapping!$B$7:$B$36,0)),"UNMAPPED ","")&amp;IF(COUNTIFS($C$4:$C41,$C41,$F$4:$F41,$F41,$H$4:$H41,$H41)&gt;1,"DUPLICATE ","")&amp;IF(AND(NOT(ISNA(MATCH($C41,Mapping!$B$7:$B$36,0))),$H41&lt;-'Control Panel'!$E$16),"CREDIT ","")&amp;IF(AND(NOT(ISNA(MATCH($C41,Mapping!$B$7:$B$36,0))),COUNTIFS(Budget!$B$4:$B$107,$B41,Budget!$C$4:$C$107,$D41)=0),"NO BUDGET ",""))</f>
        <v/>
      </c>
      <c r="L41" s="83" t="str">
        <f aca="false">IF($K41="","OK",$K41)</f>
        <v>OK</v>
      </c>
      <c r="M41" s="47" t="str">
        <f aca="false">IF(EXACT($L41,$I41),"ok","CHECK")</f>
        <v>ok</v>
      </c>
    </row>
    <row r="42" customFormat="false" ht="12" hidden="false" customHeight="true" outlineLevel="0" collapsed="false">
      <c r="B42" s="50" t="s">
        <v>145</v>
      </c>
      <c r="C42" s="50" t="s">
        <v>305</v>
      </c>
      <c r="D42" s="79" t="s">
        <v>115</v>
      </c>
      <c r="E42" s="80" t="n">
        <v>46188</v>
      </c>
      <c r="F42" s="50" t="s">
        <v>306</v>
      </c>
      <c r="G42" s="81" t="s">
        <v>307</v>
      </c>
      <c r="H42" s="82" t="n">
        <v>1819.22</v>
      </c>
      <c r="I42" s="37" t="s">
        <v>226</v>
      </c>
      <c r="J42" s="37" t="s">
        <v>77</v>
      </c>
      <c r="K42" s="37" t="str">
        <f aca="false">TRIM(IF($B42="UNASSIGNED","NO COST CENTRE ","")&amp;IF(ISNA(MATCH($C42,Mapping!$B$7:$B$36,0)),"UNMAPPED ","")&amp;IF(COUNTIFS($C$4:$C42,$C42,$F$4:$F42,$F42,$H$4:$H42,$H42)&gt;1,"DUPLICATE ","")&amp;IF(AND(NOT(ISNA(MATCH($C42,Mapping!$B$7:$B$36,0))),$H42&lt;-'Control Panel'!$E$16),"CREDIT ","")&amp;IF(AND(NOT(ISNA(MATCH($C42,Mapping!$B$7:$B$36,0))),COUNTIFS(Budget!$B$4:$B$107,$B42,Budget!$C$4:$C$107,$D42)=0),"NO BUDGET ",""))</f>
        <v/>
      </c>
      <c r="L42" s="83" t="str">
        <f aca="false">IF($K42="","OK",$K42)</f>
        <v>OK</v>
      </c>
      <c r="M42" s="47" t="str">
        <f aca="false">IF(EXACT($L42,$I42),"ok","CHECK")</f>
        <v>ok</v>
      </c>
    </row>
    <row r="43" customFormat="false" ht="12" hidden="false" customHeight="true" outlineLevel="0" collapsed="false">
      <c r="B43" s="50" t="s">
        <v>145</v>
      </c>
      <c r="C43" s="50" t="s">
        <v>266</v>
      </c>
      <c r="D43" s="79" t="s">
        <v>109</v>
      </c>
      <c r="E43" s="80" t="n">
        <v>46188</v>
      </c>
      <c r="F43" s="50" t="s">
        <v>308</v>
      </c>
      <c r="G43" s="81" t="s">
        <v>293</v>
      </c>
      <c r="H43" s="82" t="n">
        <v>831.1</v>
      </c>
      <c r="I43" s="37" t="s">
        <v>226</v>
      </c>
      <c r="J43" s="37" t="s">
        <v>77</v>
      </c>
      <c r="K43" s="37" t="str">
        <f aca="false">TRIM(IF($B43="UNASSIGNED","NO COST CENTRE ","")&amp;IF(ISNA(MATCH($C43,Mapping!$B$7:$B$36,0)),"UNMAPPED ","")&amp;IF(COUNTIFS($C$4:$C43,$C43,$F$4:$F43,$F43,$H$4:$H43,$H43)&gt;1,"DUPLICATE ","")&amp;IF(AND(NOT(ISNA(MATCH($C43,Mapping!$B$7:$B$36,0))),$H43&lt;-'Control Panel'!$E$16),"CREDIT ","")&amp;IF(AND(NOT(ISNA(MATCH($C43,Mapping!$B$7:$B$36,0))),COUNTIFS(Budget!$B$4:$B$107,$B43,Budget!$C$4:$C$107,$D43)=0),"NO BUDGET ",""))</f>
        <v/>
      </c>
      <c r="L43" s="83" t="str">
        <f aca="false">IF($K43="","OK",$K43)</f>
        <v>OK</v>
      </c>
      <c r="M43" s="47" t="str">
        <f aca="false">IF(EXACT($L43,$I43),"ok","CHECK")</f>
        <v>ok</v>
      </c>
    </row>
    <row r="44" customFormat="false" ht="12" hidden="false" customHeight="true" outlineLevel="0" collapsed="false">
      <c r="B44" s="50" t="s">
        <v>145</v>
      </c>
      <c r="C44" s="50" t="s">
        <v>266</v>
      </c>
      <c r="D44" s="79" t="s">
        <v>109</v>
      </c>
      <c r="E44" s="80" t="n">
        <v>46189</v>
      </c>
      <c r="F44" s="50" t="s">
        <v>309</v>
      </c>
      <c r="G44" s="81" t="s">
        <v>310</v>
      </c>
      <c r="H44" s="82" t="n">
        <v>1179.09</v>
      </c>
      <c r="I44" s="37" t="s">
        <v>226</v>
      </c>
      <c r="J44" s="37" t="s">
        <v>77</v>
      </c>
      <c r="K44" s="37" t="str">
        <f aca="false">TRIM(IF($B44="UNASSIGNED","NO COST CENTRE ","")&amp;IF(ISNA(MATCH($C44,Mapping!$B$7:$B$36,0)),"UNMAPPED ","")&amp;IF(COUNTIFS($C$4:$C44,$C44,$F$4:$F44,$F44,$H$4:$H44,$H44)&gt;1,"DUPLICATE ","")&amp;IF(AND(NOT(ISNA(MATCH($C44,Mapping!$B$7:$B$36,0))),$H44&lt;-'Control Panel'!$E$16),"CREDIT ","")&amp;IF(AND(NOT(ISNA(MATCH($C44,Mapping!$B$7:$B$36,0))),COUNTIFS(Budget!$B$4:$B$107,$B44,Budget!$C$4:$C$107,$D44)=0),"NO BUDGET ",""))</f>
        <v/>
      </c>
      <c r="L44" s="83" t="str">
        <f aca="false">IF($K44="","OK",$K44)</f>
        <v>OK</v>
      </c>
      <c r="M44" s="47" t="str">
        <f aca="false">IF(EXACT($L44,$I44),"ok","CHECK")</f>
        <v>ok</v>
      </c>
    </row>
    <row r="45" customFormat="false" ht="12" hidden="false" customHeight="true" outlineLevel="0" collapsed="false">
      <c r="B45" s="50" t="s">
        <v>145</v>
      </c>
      <c r="C45" s="50" t="s">
        <v>250</v>
      </c>
      <c r="D45" s="79" t="s">
        <v>115</v>
      </c>
      <c r="E45" s="80" t="n">
        <v>46189</v>
      </c>
      <c r="F45" s="50" t="s">
        <v>311</v>
      </c>
      <c r="G45" s="81" t="s">
        <v>252</v>
      </c>
      <c r="H45" s="82" t="n">
        <v>1493.11</v>
      </c>
      <c r="I45" s="37" t="s">
        <v>226</v>
      </c>
      <c r="J45" s="37" t="s">
        <v>77</v>
      </c>
      <c r="K45" s="37" t="str">
        <f aca="false">TRIM(IF($B45="UNASSIGNED","NO COST CENTRE ","")&amp;IF(ISNA(MATCH($C45,Mapping!$B$7:$B$36,0)),"UNMAPPED ","")&amp;IF(COUNTIFS($C$4:$C45,$C45,$F$4:$F45,$F45,$H$4:$H45,$H45)&gt;1,"DUPLICATE ","")&amp;IF(AND(NOT(ISNA(MATCH($C45,Mapping!$B$7:$B$36,0))),$H45&lt;-'Control Panel'!$E$16),"CREDIT ","")&amp;IF(AND(NOT(ISNA(MATCH($C45,Mapping!$B$7:$B$36,0))),COUNTIFS(Budget!$B$4:$B$107,$B45,Budget!$C$4:$C$107,$D45)=0),"NO BUDGET ",""))</f>
        <v/>
      </c>
      <c r="L45" s="83" t="str">
        <f aca="false">IF($K45="","OK",$K45)</f>
        <v>OK</v>
      </c>
      <c r="M45" s="47" t="str">
        <f aca="false">IF(EXACT($L45,$I45),"ok","CHECK")</f>
        <v>ok</v>
      </c>
    </row>
    <row r="46" customFormat="false" ht="12" hidden="false" customHeight="true" outlineLevel="0" collapsed="false">
      <c r="B46" s="50" t="s">
        <v>145</v>
      </c>
      <c r="C46" s="50" t="s">
        <v>289</v>
      </c>
      <c r="D46" s="79" t="s">
        <v>111</v>
      </c>
      <c r="E46" s="80" t="n">
        <v>46189</v>
      </c>
      <c r="F46" s="50" t="s">
        <v>312</v>
      </c>
      <c r="G46" s="81" t="s">
        <v>288</v>
      </c>
      <c r="H46" s="82" t="n">
        <v>2426.33</v>
      </c>
      <c r="I46" s="37" t="s">
        <v>226</v>
      </c>
      <c r="J46" s="37" t="s">
        <v>77</v>
      </c>
      <c r="K46" s="37" t="str">
        <f aca="false">TRIM(IF($B46="UNASSIGNED","NO COST CENTRE ","")&amp;IF(ISNA(MATCH($C46,Mapping!$B$7:$B$36,0)),"UNMAPPED ","")&amp;IF(COUNTIFS($C$4:$C46,$C46,$F$4:$F46,$F46,$H$4:$H46,$H46)&gt;1,"DUPLICATE ","")&amp;IF(AND(NOT(ISNA(MATCH($C46,Mapping!$B$7:$B$36,0))),$H46&lt;-'Control Panel'!$E$16),"CREDIT ","")&amp;IF(AND(NOT(ISNA(MATCH($C46,Mapping!$B$7:$B$36,0))),COUNTIFS(Budget!$B$4:$B$107,$B46,Budget!$C$4:$C$107,$D46)=0),"NO BUDGET ",""))</f>
        <v/>
      </c>
      <c r="L46" s="83" t="str">
        <f aca="false">IF($K46="","OK",$K46)</f>
        <v>OK</v>
      </c>
      <c r="M46" s="47" t="str">
        <f aca="false">IF(EXACT($L46,$I46),"ok","CHECK")</f>
        <v>ok</v>
      </c>
    </row>
    <row r="47" customFormat="false" ht="12" hidden="false" customHeight="true" outlineLevel="0" collapsed="false">
      <c r="B47" s="50" t="s">
        <v>145</v>
      </c>
      <c r="C47" s="50" t="s">
        <v>247</v>
      </c>
      <c r="D47" s="79" t="s">
        <v>110</v>
      </c>
      <c r="E47" s="80" t="n">
        <v>46190</v>
      </c>
      <c r="F47" s="50" t="s">
        <v>313</v>
      </c>
      <c r="G47" s="81" t="s">
        <v>249</v>
      </c>
      <c r="H47" s="82" t="n">
        <v>1976.34</v>
      </c>
      <c r="I47" s="37" t="s">
        <v>226</v>
      </c>
      <c r="J47" s="37" t="s">
        <v>77</v>
      </c>
      <c r="K47" s="37" t="str">
        <f aca="false">TRIM(IF($B47="UNASSIGNED","NO COST CENTRE ","")&amp;IF(ISNA(MATCH($C47,Mapping!$B$7:$B$36,0)),"UNMAPPED ","")&amp;IF(COUNTIFS($C$4:$C47,$C47,$F$4:$F47,$F47,$H$4:$H47,$H47)&gt;1,"DUPLICATE ","")&amp;IF(AND(NOT(ISNA(MATCH($C47,Mapping!$B$7:$B$36,0))),$H47&lt;-'Control Panel'!$E$16),"CREDIT ","")&amp;IF(AND(NOT(ISNA(MATCH($C47,Mapping!$B$7:$B$36,0))),COUNTIFS(Budget!$B$4:$B$107,$B47,Budget!$C$4:$C$107,$D47)=0),"NO BUDGET ",""))</f>
        <v/>
      </c>
      <c r="L47" s="83" t="str">
        <f aca="false">IF($K47="","OK",$K47)</f>
        <v>OK</v>
      </c>
      <c r="M47" s="47" t="str">
        <f aca="false">IF(EXACT($L47,$I47),"ok","CHECK")</f>
        <v>ok</v>
      </c>
    </row>
    <row r="48" customFormat="false" ht="12" hidden="false" customHeight="true" outlineLevel="0" collapsed="false">
      <c r="B48" s="50" t="s">
        <v>145</v>
      </c>
      <c r="C48" s="50" t="s">
        <v>223</v>
      </c>
      <c r="D48" s="79" t="s">
        <v>113</v>
      </c>
      <c r="E48" s="80" t="n">
        <v>46190</v>
      </c>
      <c r="F48" s="50" t="s">
        <v>314</v>
      </c>
      <c r="G48" s="81" t="s">
        <v>315</v>
      </c>
      <c r="H48" s="82" t="n">
        <v>804.2</v>
      </c>
      <c r="I48" s="37" t="s">
        <v>226</v>
      </c>
      <c r="J48" s="37" t="s">
        <v>77</v>
      </c>
      <c r="K48" s="37" t="str">
        <f aca="false">TRIM(IF($B48="UNASSIGNED","NO COST CENTRE ","")&amp;IF(ISNA(MATCH($C48,Mapping!$B$7:$B$36,0)),"UNMAPPED ","")&amp;IF(COUNTIFS($C$4:$C48,$C48,$F$4:$F48,$F48,$H$4:$H48,$H48)&gt;1,"DUPLICATE ","")&amp;IF(AND(NOT(ISNA(MATCH($C48,Mapping!$B$7:$B$36,0))),$H48&lt;-'Control Panel'!$E$16),"CREDIT ","")&amp;IF(AND(NOT(ISNA(MATCH($C48,Mapping!$B$7:$B$36,0))),COUNTIFS(Budget!$B$4:$B$107,$B48,Budget!$C$4:$C$107,$D48)=0),"NO BUDGET ",""))</f>
        <v/>
      </c>
      <c r="L48" s="83" t="str">
        <f aca="false">IF($K48="","OK",$K48)</f>
        <v>OK</v>
      </c>
      <c r="M48" s="47" t="str">
        <f aca="false">IF(EXACT($L48,$I48),"ok","CHECK")</f>
        <v>ok</v>
      </c>
    </row>
    <row r="49" customFormat="false" ht="12" hidden="false" customHeight="true" outlineLevel="0" collapsed="false">
      <c r="B49" s="50" t="s">
        <v>145</v>
      </c>
      <c r="C49" s="50" t="s">
        <v>266</v>
      </c>
      <c r="D49" s="79" t="s">
        <v>109</v>
      </c>
      <c r="E49" s="80" t="n">
        <v>46191</v>
      </c>
      <c r="F49" s="50" t="s">
        <v>316</v>
      </c>
      <c r="G49" s="81" t="s">
        <v>268</v>
      </c>
      <c r="H49" s="82" t="n">
        <v>1921.84</v>
      </c>
      <c r="I49" s="37" t="s">
        <v>226</v>
      </c>
      <c r="J49" s="37" t="s">
        <v>77</v>
      </c>
      <c r="K49" s="37" t="str">
        <f aca="false">TRIM(IF($B49="UNASSIGNED","NO COST CENTRE ","")&amp;IF(ISNA(MATCH($C49,Mapping!$B$7:$B$36,0)),"UNMAPPED ","")&amp;IF(COUNTIFS($C$4:$C49,$C49,$F$4:$F49,$F49,$H$4:$H49,$H49)&gt;1,"DUPLICATE ","")&amp;IF(AND(NOT(ISNA(MATCH($C49,Mapping!$B$7:$B$36,0))),$H49&lt;-'Control Panel'!$E$16),"CREDIT ","")&amp;IF(AND(NOT(ISNA(MATCH($C49,Mapping!$B$7:$B$36,0))),COUNTIFS(Budget!$B$4:$B$107,$B49,Budget!$C$4:$C$107,$D49)=0),"NO BUDGET ",""))</f>
        <v/>
      </c>
      <c r="L49" s="83" t="str">
        <f aca="false">IF($K49="","OK",$K49)</f>
        <v>OK</v>
      </c>
      <c r="M49" s="47" t="str">
        <f aca="false">IF(EXACT($L49,$I49),"ok","CHECK")</f>
        <v>ok</v>
      </c>
    </row>
    <row r="50" customFormat="false" ht="12" hidden="false" customHeight="true" outlineLevel="0" collapsed="false">
      <c r="B50" s="50" t="s">
        <v>145</v>
      </c>
      <c r="C50" s="50" t="s">
        <v>289</v>
      </c>
      <c r="D50" s="79" t="s">
        <v>111</v>
      </c>
      <c r="E50" s="80" t="n">
        <v>46191</v>
      </c>
      <c r="F50" s="50" t="s">
        <v>317</v>
      </c>
      <c r="G50" s="81" t="s">
        <v>318</v>
      </c>
      <c r="H50" s="82" t="n">
        <v>2696.87</v>
      </c>
      <c r="I50" s="37" t="s">
        <v>226</v>
      </c>
      <c r="J50" s="37" t="s">
        <v>77</v>
      </c>
      <c r="K50" s="37" t="str">
        <f aca="false">TRIM(IF($B50="UNASSIGNED","NO COST CENTRE ","")&amp;IF(ISNA(MATCH($C50,Mapping!$B$7:$B$36,0)),"UNMAPPED ","")&amp;IF(COUNTIFS($C$4:$C50,$C50,$F$4:$F50,$F50,$H$4:$H50,$H50)&gt;1,"DUPLICATE ","")&amp;IF(AND(NOT(ISNA(MATCH($C50,Mapping!$B$7:$B$36,0))),$H50&lt;-'Control Panel'!$E$16),"CREDIT ","")&amp;IF(AND(NOT(ISNA(MATCH($C50,Mapping!$B$7:$B$36,0))),COUNTIFS(Budget!$B$4:$B$107,$B50,Budget!$C$4:$C$107,$D50)=0),"NO BUDGET ",""))</f>
        <v/>
      </c>
      <c r="L50" s="83" t="str">
        <f aca="false">IF($K50="","OK",$K50)</f>
        <v>OK</v>
      </c>
      <c r="M50" s="47" t="str">
        <f aca="false">IF(EXACT($L50,$I50),"ok","CHECK")</f>
        <v>ok</v>
      </c>
    </row>
    <row r="51" customFormat="false" ht="12" hidden="false" customHeight="true" outlineLevel="0" collapsed="false">
      <c r="B51" s="50" t="s">
        <v>145</v>
      </c>
      <c r="C51" s="50" t="s">
        <v>289</v>
      </c>
      <c r="D51" s="79" t="s">
        <v>111</v>
      </c>
      <c r="E51" s="80" t="n">
        <v>46192</v>
      </c>
      <c r="F51" s="50" t="s">
        <v>319</v>
      </c>
      <c r="G51" s="81" t="s">
        <v>261</v>
      </c>
      <c r="H51" s="82" t="n">
        <v>3016.67</v>
      </c>
      <c r="I51" s="37" t="s">
        <v>226</v>
      </c>
      <c r="J51" s="37" t="s">
        <v>77</v>
      </c>
      <c r="K51" s="37" t="str">
        <f aca="false">TRIM(IF($B51="UNASSIGNED","NO COST CENTRE ","")&amp;IF(ISNA(MATCH($C51,Mapping!$B$7:$B$36,0)),"UNMAPPED ","")&amp;IF(COUNTIFS($C$4:$C51,$C51,$F$4:$F51,$F51,$H$4:$H51,$H51)&gt;1,"DUPLICATE ","")&amp;IF(AND(NOT(ISNA(MATCH($C51,Mapping!$B$7:$B$36,0))),$H51&lt;-'Control Panel'!$E$16),"CREDIT ","")&amp;IF(AND(NOT(ISNA(MATCH($C51,Mapping!$B$7:$B$36,0))),COUNTIFS(Budget!$B$4:$B$107,$B51,Budget!$C$4:$C$107,$D51)=0),"NO BUDGET ",""))</f>
        <v/>
      </c>
      <c r="L51" s="83" t="str">
        <f aca="false">IF($K51="","OK",$K51)</f>
        <v>OK</v>
      </c>
      <c r="M51" s="47" t="str">
        <f aca="false">IF(EXACT($L51,$I51),"ok","CHECK")</f>
        <v>ok</v>
      </c>
    </row>
    <row r="52" customFormat="false" ht="12" hidden="false" customHeight="true" outlineLevel="0" collapsed="false">
      <c r="B52" s="50" t="s">
        <v>145</v>
      </c>
      <c r="C52" s="50" t="s">
        <v>259</v>
      </c>
      <c r="D52" s="79" t="s">
        <v>111</v>
      </c>
      <c r="E52" s="80" t="n">
        <v>46192</v>
      </c>
      <c r="F52" s="50" t="s">
        <v>320</v>
      </c>
      <c r="G52" s="81" t="s">
        <v>318</v>
      </c>
      <c r="H52" s="82" t="n">
        <v>3675.61</v>
      </c>
      <c r="I52" s="37" t="s">
        <v>226</v>
      </c>
      <c r="J52" s="37" t="s">
        <v>77</v>
      </c>
      <c r="K52" s="37" t="str">
        <f aca="false">TRIM(IF($B52="UNASSIGNED","NO COST CENTRE ","")&amp;IF(ISNA(MATCH($C52,Mapping!$B$7:$B$36,0)),"UNMAPPED ","")&amp;IF(COUNTIFS($C$4:$C52,$C52,$F$4:$F52,$F52,$H$4:$H52,$H52)&gt;1,"DUPLICATE ","")&amp;IF(AND(NOT(ISNA(MATCH($C52,Mapping!$B$7:$B$36,0))),$H52&lt;-'Control Panel'!$E$16),"CREDIT ","")&amp;IF(AND(NOT(ISNA(MATCH($C52,Mapping!$B$7:$B$36,0))),COUNTIFS(Budget!$B$4:$B$107,$B52,Budget!$C$4:$C$107,$D52)=0),"NO BUDGET ",""))</f>
        <v/>
      </c>
      <c r="L52" s="83" t="str">
        <f aca="false">IF($K52="","OK",$K52)</f>
        <v>OK</v>
      </c>
      <c r="M52" s="47" t="str">
        <f aca="false">IF(EXACT($L52,$I52),"ok","CHECK")</f>
        <v>ok</v>
      </c>
    </row>
    <row r="53" customFormat="false" ht="12" hidden="false" customHeight="true" outlineLevel="0" collapsed="false">
      <c r="B53" s="50" t="s">
        <v>145</v>
      </c>
      <c r="C53" s="50" t="s">
        <v>223</v>
      </c>
      <c r="D53" s="79" t="s">
        <v>113</v>
      </c>
      <c r="E53" s="80" t="n">
        <v>46193</v>
      </c>
      <c r="F53" s="50" t="s">
        <v>321</v>
      </c>
      <c r="G53" s="81" t="s">
        <v>322</v>
      </c>
      <c r="H53" s="82" t="n">
        <v>1479.86</v>
      </c>
      <c r="I53" s="37" t="s">
        <v>226</v>
      </c>
      <c r="J53" s="37" t="s">
        <v>77</v>
      </c>
      <c r="K53" s="37" t="str">
        <f aca="false">TRIM(IF($B53="UNASSIGNED","NO COST CENTRE ","")&amp;IF(ISNA(MATCH($C53,Mapping!$B$7:$B$36,0)),"UNMAPPED ","")&amp;IF(COUNTIFS($C$4:$C53,$C53,$F$4:$F53,$F53,$H$4:$H53,$H53)&gt;1,"DUPLICATE ","")&amp;IF(AND(NOT(ISNA(MATCH($C53,Mapping!$B$7:$B$36,0))),$H53&lt;-'Control Panel'!$E$16),"CREDIT ","")&amp;IF(AND(NOT(ISNA(MATCH($C53,Mapping!$B$7:$B$36,0))),COUNTIFS(Budget!$B$4:$B$107,$B53,Budget!$C$4:$C$107,$D53)=0),"NO BUDGET ",""))</f>
        <v/>
      </c>
      <c r="L53" s="83" t="str">
        <f aca="false">IF($K53="","OK",$K53)</f>
        <v>OK</v>
      </c>
      <c r="M53" s="47" t="str">
        <f aca="false">IF(EXACT($L53,$I53),"ok","CHECK")</f>
        <v>ok</v>
      </c>
    </row>
    <row r="54" customFormat="false" ht="12" hidden="false" customHeight="true" outlineLevel="0" collapsed="false">
      <c r="B54" s="50" t="s">
        <v>145</v>
      </c>
      <c r="C54" s="50" t="s">
        <v>305</v>
      </c>
      <c r="D54" s="79" t="s">
        <v>115</v>
      </c>
      <c r="E54" s="80" t="n">
        <v>46193</v>
      </c>
      <c r="F54" s="50" t="s">
        <v>323</v>
      </c>
      <c r="G54" s="81" t="s">
        <v>324</v>
      </c>
      <c r="H54" s="82" t="n">
        <v>1281.09</v>
      </c>
      <c r="I54" s="37" t="s">
        <v>226</v>
      </c>
      <c r="J54" s="37" t="s">
        <v>77</v>
      </c>
      <c r="K54" s="37" t="str">
        <f aca="false">TRIM(IF($B54="UNASSIGNED","NO COST CENTRE ","")&amp;IF(ISNA(MATCH($C54,Mapping!$B$7:$B$36,0)),"UNMAPPED ","")&amp;IF(COUNTIFS($C$4:$C54,$C54,$F$4:$F54,$F54,$H$4:$H54,$H54)&gt;1,"DUPLICATE ","")&amp;IF(AND(NOT(ISNA(MATCH($C54,Mapping!$B$7:$B$36,0))),$H54&lt;-'Control Panel'!$E$16),"CREDIT ","")&amp;IF(AND(NOT(ISNA(MATCH($C54,Mapping!$B$7:$B$36,0))),COUNTIFS(Budget!$B$4:$B$107,$B54,Budget!$C$4:$C$107,$D54)=0),"NO BUDGET ",""))</f>
        <v/>
      </c>
      <c r="L54" s="83" t="str">
        <f aca="false">IF($K54="","OK",$K54)</f>
        <v>OK</v>
      </c>
      <c r="M54" s="47" t="str">
        <f aca="false">IF(EXACT($L54,$I54),"ok","CHECK")</f>
        <v>ok</v>
      </c>
    </row>
    <row r="55" customFormat="false" ht="12" hidden="false" customHeight="true" outlineLevel="0" collapsed="false">
      <c r="B55" s="50" t="s">
        <v>145</v>
      </c>
      <c r="C55" s="50" t="s">
        <v>247</v>
      </c>
      <c r="D55" s="79" t="s">
        <v>110</v>
      </c>
      <c r="E55" s="80" t="n">
        <v>46193</v>
      </c>
      <c r="F55" s="50" t="s">
        <v>325</v>
      </c>
      <c r="G55" s="81" t="s">
        <v>270</v>
      </c>
      <c r="H55" s="82" t="n">
        <v>2234.6</v>
      </c>
      <c r="I55" s="37" t="s">
        <v>226</v>
      </c>
      <c r="J55" s="37" t="s">
        <v>77</v>
      </c>
      <c r="K55" s="37" t="str">
        <f aca="false">TRIM(IF($B55="UNASSIGNED","NO COST CENTRE ","")&amp;IF(ISNA(MATCH($C55,Mapping!$B$7:$B$36,0)),"UNMAPPED ","")&amp;IF(COUNTIFS($C$4:$C55,$C55,$F$4:$F55,$F55,$H$4:$H55,$H55)&gt;1,"DUPLICATE ","")&amp;IF(AND(NOT(ISNA(MATCH($C55,Mapping!$B$7:$B$36,0))),$H55&lt;-'Control Panel'!$E$16),"CREDIT ","")&amp;IF(AND(NOT(ISNA(MATCH($C55,Mapping!$B$7:$B$36,0))),COUNTIFS(Budget!$B$4:$B$107,$B55,Budget!$C$4:$C$107,$D55)=0),"NO BUDGET ",""))</f>
        <v/>
      </c>
      <c r="L55" s="83" t="str">
        <f aca="false">IF($K55="","OK",$K55)</f>
        <v>OK</v>
      </c>
      <c r="M55" s="47" t="str">
        <f aca="false">IF(EXACT($L55,$I55),"ok","CHECK")</f>
        <v>ok</v>
      </c>
    </row>
    <row r="56" customFormat="false" ht="12" hidden="false" customHeight="true" outlineLevel="0" collapsed="false">
      <c r="B56" s="50" t="s">
        <v>145</v>
      </c>
      <c r="C56" s="50" t="s">
        <v>266</v>
      </c>
      <c r="D56" s="79" t="s">
        <v>109</v>
      </c>
      <c r="E56" s="80" t="n">
        <v>46193</v>
      </c>
      <c r="F56" s="50" t="s">
        <v>326</v>
      </c>
      <c r="G56" s="81" t="s">
        <v>293</v>
      </c>
      <c r="H56" s="82" t="n">
        <v>1540.87</v>
      </c>
      <c r="I56" s="37" t="s">
        <v>226</v>
      </c>
      <c r="J56" s="37" t="s">
        <v>77</v>
      </c>
      <c r="K56" s="37" t="str">
        <f aca="false">TRIM(IF($B56="UNASSIGNED","NO COST CENTRE ","")&amp;IF(ISNA(MATCH($C56,Mapping!$B$7:$B$36,0)),"UNMAPPED ","")&amp;IF(COUNTIFS($C$4:$C56,$C56,$F$4:$F56,$F56,$H$4:$H56,$H56)&gt;1,"DUPLICATE ","")&amp;IF(AND(NOT(ISNA(MATCH($C56,Mapping!$B$7:$B$36,0))),$H56&lt;-'Control Panel'!$E$16),"CREDIT ","")&amp;IF(AND(NOT(ISNA(MATCH($C56,Mapping!$B$7:$B$36,0))),COUNTIFS(Budget!$B$4:$B$107,$B56,Budget!$C$4:$C$107,$D56)=0),"NO BUDGET ",""))</f>
        <v/>
      </c>
      <c r="L56" s="83" t="str">
        <f aca="false">IF($K56="","OK",$K56)</f>
        <v>OK</v>
      </c>
      <c r="M56" s="47" t="str">
        <f aca="false">IF(EXACT($L56,$I56),"ok","CHECK")</f>
        <v>ok</v>
      </c>
    </row>
    <row r="57" customFormat="false" ht="12" hidden="false" customHeight="true" outlineLevel="0" collapsed="false">
      <c r="B57" s="50" t="s">
        <v>145</v>
      </c>
      <c r="C57" s="50" t="s">
        <v>250</v>
      </c>
      <c r="D57" s="79" t="s">
        <v>115</v>
      </c>
      <c r="E57" s="80" t="n">
        <v>46193</v>
      </c>
      <c r="F57" s="50" t="s">
        <v>327</v>
      </c>
      <c r="G57" s="81" t="s">
        <v>328</v>
      </c>
      <c r="H57" s="82" t="n">
        <v>1645.28</v>
      </c>
      <c r="I57" s="37" t="s">
        <v>226</v>
      </c>
      <c r="J57" s="37" t="s">
        <v>77</v>
      </c>
      <c r="K57" s="37" t="str">
        <f aca="false">TRIM(IF($B57="UNASSIGNED","NO COST CENTRE ","")&amp;IF(ISNA(MATCH($C57,Mapping!$B$7:$B$36,0)),"UNMAPPED ","")&amp;IF(COUNTIFS($C$4:$C57,$C57,$F$4:$F57,$F57,$H$4:$H57,$H57)&gt;1,"DUPLICATE ","")&amp;IF(AND(NOT(ISNA(MATCH($C57,Mapping!$B$7:$B$36,0))),$H57&lt;-'Control Panel'!$E$16),"CREDIT ","")&amp;IF(AND(NOT(ISNA(MATCH($C57,Mapping!$B$7:$B$36,0))),COUNTIFS(Budget!$B$4:$B$107,$B57,Budget!$C$4:$C$107,$D57)=0),"NO BUDGET ",""))</f>
        <v/>
      </c>
      <c r="L57" s="83" t="str">
        <f aca="false">IF($K57="","OK",$K57)</f>
        <v>OK</v>
      </c>
      <c r="M57" s="47" t="str">
        <f aca="false">IF(EXACT($L57,$I57),"ok","CHECK")</f>
        <v>ok</v>
      </c>
    </row>
    <row r="58" customFormat="false" ht="12" hidden="false" customHeight="true" outlineLevel="0" collapsed="false">
      <c r="B58" s="50" t="s">
        <v>145</v>
      </c>
      <c r="C58" s="50" t="s">
        <v>238</v>
      </c>
      <c r="D58" s="79" t="s">
        <v>110</v>
      </c>
      <c r="E58" s="80" t="n">
        <v>46193</v>
      </c>
      <c r="F58" s="50" t="s">
        <v>329</v>
      </c>
      <c r="G58" s="81" t="s">
        <v>330</v>
      </c>
      <c r="H58" s="82" t="n">
        <v>3348.18</v>
      </c>
      <c r="I58" s="37" t="s">
        <v>226</v>
      </c>
      <c r="J58" s="37" t="s">
        <v>77</v>
      </c>
      <c r="K58" s="37" t="str">
        <f aca="false">TRIM(IF($B58="UNASSIGNED","NO COST CENTRE ","")&amp;IF(ISNA(MATCH($C58,Mapping!$B$7:$B$36,0)),"UNMAPPED ","")&amp;IF(COUNTIFS($C$4:$C58,$C58,$F$4:$F58,$F58,$H$4:$H58,$H58)&gt;1,"DUPLICATE ","")&amp;IF(AND(NOT(ISNA(MATCH($C58,Mapping!$B$7:$B$36,0))),$H58&lt;-'Control Panel'!$E$16),"CREDIT ","")&amp;IF(AND(NOT(ISNA(MATCH($C58,Mapping!$B$7:$B$36,0))),COUNTIFS(Budget!$B$4:$B$107,$B58,Budget!$C$4:$C$107,$D58)=0),"NO BUDGET ",""))</f>
        <v/>
      </c>
      <c r="L58" s="83" t="str">
        <f aca="false">IF($K58="","OK",$K58)</f>
        <v>OK</v>
      </c>
      <c r="M58" s="47" t="str">
        <f aca="false">IF(EXACT($L58,$I58),"ok","CHECK")</f>
        <v>ok</v>
      </c>
    </row>
    <row r="59" customFormat="false" ht="12" hidden="false" customHeight="true" outlineLevel="0" collapsed="false">
      <c r="B59" s="50" t="s">
        <v>145</v>
      </c>
      <c r="C59" s="50" t="s">
        <v>244</v>
      </c>
      <c r="D59" s="79" t="s">
        <v>111</v>
      </c>
      <c r="E59" s="80" t="n">
        <v>46194</v>
      </c>
      <c r="F59" s="50" t="s">
        <v>331</v>
      </c>
      <c r="G59" s="81" t="s">
        <v>318</v>
      </c>
      <c r="H59" s="82" t="n">
        <v>3549.06</v>
      </c>
      <c r="I59" s="37" t="s">
        <v>226</v>
      </c>
      <c r="J59" s="37" t="s">
        <v>77</v>
      </c>
      <c r="K59" s="37" t="str">
        <f aca="false">TRIM(IF($B59="UNASSIGNED","NO COST CENTRE ","")&amp;IF(ISNA(MATCH($C59,Mapping!$B$7:$B$36,0)),"UNMAPPED ","")&amp;IF(COUNTIFS($C$4:$C59,$C59,$F$4:$F59,$F59,$H$4:$H59,$H59)&gt;1,"DUPLICATE ","")&amp;IF(AND(NOT(ISNA(MATCH($C59,Mapping!$B$7:$B$36,0))),$H59&lt;-'Control Panel'!$E$16),"CREDIT ","")&amp;IF(AND(NOT(ISNA(MATCH($C59,Mapping!$B$7:$B$36,0))),COUNTIFS(Budget!$B$4:$B$107,$B59,Budget!$C$4:$C$107,$D59)=0),"NO BUDGET ",""))</f>
        <v/>
      </c>
      <c r="L59" s="83" t="str">
        <f aca="false">IF($K59="","OK",$K59)</f>
        <v>OK</v>
      </c>
      <c r="M59" s="47" t="str">
        <f aca="false">IF(EXACT($L59,$I59),"ok","CHECK")</f>
        <v>ok</v>
      </c>
    </row>
    <row r="60" customFormat="false" ht="12" hidden="false" customHeight="true" outlineLevel="0" collapsed="false">
      <c r="B60" s="50" t="s">
        <v>145</v>
      </c>
      <c r="C60" s="50" t="s">
        <v>247</v>
      </c>
      <c r="D60" s="79" t="s">
        <v>110</v>
      </c>
      <c r="E60" s="80" t="n">
        <v>46194</v>
      </c>
      <c r="F60" s="50" t="s">
        <v>332</v>
      </c>
      <c r="G60" s="81" t="s">
        <v>297</v>
      </c>
      <c r="H60" s="82" t="n">
        <v>2630.63</v>
      </c>
      <c r="I60" s="37" t="s">
        <v>226</v>
      </c>
      <c r="J60" s="37" t="s">
        <v>77</v>
      </c>
      <c r="K60" s="37" t="str">
        <f aca="false">TRIM(IF($B60="UNASSIGNED","NO COST CENTRE ","")&amp;IF(ISNA(MATCH($C60,Mapping!$B$7:$B$36,0)),"UNMAPPED ","")&amp;IF(COUNTIFS($C$4:$C60,$C60,$F$4:$F60,$F60,$H$4:$H60,$H60)&gt;1,"DUPLICATE ","")&amp;IF(AND(NOT(ISNA(MATCH($C60,Mapping!$B$7:$B$36,0))),$H60&lt;-'Control Panel'!$E$16),"CREDIT ","")&amp;IF(AND(NOT(ISNA(MATCH($C60,Mapping!$B$7:$B$36,0))),COUNTIFS(Budget!$B$4:$B$107,$B60,Budget!$C$4:$C$107,$D60)=0),"NO BUDGET ",""))</f>
        <v/>
      </c>
      <c r="L60" s="83" t="str">
        <f aca="false">IF($K60="","OK",$K60)</f>
        <v>OK</v>
      </c>
      <c r="M60" s="47" t="str">
        <f aca="false">IF(EXACT($L60,$I60),"ok","CHECK")</f>
        <v>ok</v>
      </c>
    </row>
    <row r="61" customFormat="false" ht="12" hidden="false" customHeight="true" outlineLevel="0" collapsed="false">
      <c r="B61" s="50" t="s">
        <v>145</v>
      </c>
      <c r="C61" s="50" t="s">
        <v>266</v>
      </c>
      <c r="D61" s="79" t="s">
        <v>109</v>
      </c>
      <c r="E61" s="80" t="n">
        <v>46194</v>
      </c>
      <c r="F61" s="50" t="s">
        <v>333</v>
      </c>
      <c r="G61" s="81" t="s">
        <v>334</v>
      </c>
      <c r="H61" s="82" t="n">
        <v>2043.8</v>
      </c>
      <c r="I61" s="37" t="s">
        <v>226</v>
      </c>
      <c r="J61" s="37" t="s">
        <v>77</v>
      </c>
      <c r="K61" s="37" t="str">
        <f aca="false">TRIM(IF($B61="UNASSIGNED","NO COST CENTRE ","")&amp;IF(ISNA(MATCH($C61,Mapping!$B$7:$B$36,0)),"UNMAPPED ","")&amp;IF(COUNTIFS($C$4:$C61,$C61,$F$4:$F61,$F61,$H$4:$H61,$H61)&gt;1,"DUPLICATE ","")&amp;IF(AND(NOT(ISNA(MATCH($C61,Mapping!$B$7:$B$36,0))),$H61&lt;-'Control Panel'!$E$16),"CREDIT ","")&amp;IF(AND(NOT(ISNA(MATCH($C61,Mapping!$B$7:$B$36,0))),COUNTIFS(Budget!$B$4:$B$107,$B61,Budget!$C$4:$C$107,$D61)=0),"NO BUDGET ",""))</f>
        <v/>
      </c>
      <c r="L61" s="83" t="str">
        <f aca="false">IF($K61="","OK",$K61)</f>
        <v>OK</v>
      </c>
      <c r="M61" s="47" t="str">
        <f aca="false">IF(EXACT($L61,$I61),"ok","CHECK")</f>
        <v>ok</v>
      </c>
    </row>
    <row r="62" customFormat="false" ht="12" hidden="false" customHeight="true" outlineLevel="0" collapsed="false">
      <c r="B62" s="50" t="s">
        <v>145</v>
      </c>
      <c r="C62" s="50" t="s">
        <v>238</v>
      </c>
      <c r="D62" s="79" t="s">
        <v>110</v>
      </c>
      <c r="E62" s="80" t="n">
        <v>46195</v>
      </c>
      <c r="F62" s="50" t="s">
        <v>335</v>
      </c>
      <c r="G62" s="81" t="s">
        <v>249</v>
      </c>
      <c r="H62" s="82" t="n">
        <v>3718.76</v>
      </c>
      <c r="I62" s="37" t="s">
        <v>226</v>
      </c>
      <c r="J62" s="37" t="s">
        <v>77</v>
      </c>
      <c r="K62" s="37" t="str">
        <f aca="false">TRIM(IF($B62="UNASSIGNED","NO COST CENTRE ","")&amp;IF(ISNA(MATCH($C62,Mapping!$B$7:$B$36,0)),"UNMAPPED ","")&amp;IF(COUNTIFS($C$4:$C62,$C62,$F$4:$F62,$F62,$H$4:$H62,$H62)&gt;1,"DUPLICATE ","")&amp;IF(AND(NOT(ISNA(MATCH($C62,Mapping!$B$7:$B$36,0))),$H62&lt;-'Control Panel'!$E$16),"CREDIT ","")&amp;IF(AND(NOT(ISNA(MATCH($C62,Mapping!$B$7:$B$36,0))),COUNTIFS(Budget!$B$4:$B$107,$B62,Budget!$C$4:$C$107,$D62)=0),"NO BUDGET ",""))</f>
        <v/>
      </c>
      <c r="L62" s="83" t="str">
        <f aca="false">IF($K62="","OK",$K62)</f>
        <v>OK</v>
      </c>
      <c r="M62" s="47" t="str">
        <f aca="false">IF(EXACT($L62,$I62),"ok","CHECK")</f>
        <v>ok</v>
      </c>
    </row>
    <row r="63" customFormat="false" ht="12" hidden="false" customHeight="true" outlineLevel="0" collapsed="false">
      <c r="B63" s="50" t="s">
        <v>145</v>
      </c>
      <c r="C63" s="50" t="s">
        <v>247</v>
      </c>
      <c r="D63" s="79" t="s">
        <v>110</v>
      </c>
      <c r="E63" s="80" t="n">
        <v>46195</v>
      </c>
      <c r="F63" s="50" t="s">
        <v>336</v>
      </c>
      <c r="G63" s="81" t="s">
        <v>270</v>
      </c>
      <c r="H63" s="82" t="n">
        <v>1811.78</v>
      </c>
      <c r="I63" s="37" t="s">
        <v>226</v>
      </c>
      <c r="J63" s="37" t="s">
        <v>77</v>
      </c>
      <c r="K63" s="37" t="str">
        <f aca="false">TRIM(IF($B63="UNASSIGNED","NO COST CENTRE ","")&amp;IF(ISNA(MATCH($C63,Mapping!$B$7:$B$36,0)),"UNMAPPED ","")&amp;IF(COUNTIFS($C$4:$C63,$C63,$F$4:$F63,$F63,$H$4:$H63,$H63)&gt;1,"DUPLICATE ","")&amp;IF(AND(NOT(ISNA(MATCH($C63,Mapping!$B$7:$B$36,0))),$H63&lt;-'Control Panel'!$E$16),"CREDIT ","")&amp;IF(AND(NOT(ISNA(MATCH($C63,Mapping!$B$7:$B$36,0))),COUNTIFS(Budget!$B$4:$B$107,$B63,Budget!$C$4:$C$107,$D63)=0),"NO BUDGET ",""))</f>
        <v/>
      </c>
      <c r="L63" s="83" t="str">
        <f aca="false">IF($K63="","OK",$K63)</f>
        <v>OK</v>
      </c>
      <c r="M63" s="47" t="str">
        <f aca="false">IF(EXACT($L63,$I63),"ok","CHECK")</f>
        <v>ok</v>
      </c>
    </row>
    <row r="64" customFormat="false" ht="12" hidden="false" customHeight="true" outlineLevel="0" collapsed="false">
      <c r="B64" s="50" t="s">
        <v>145</v>
      </c>
      <c r="C64" s="50" t="s">
        <v>337</v>
      </c>
      <c r="D64" s="79" t="s">
        <v>109</v>
      </c>
      <c r="E64" s="80" t="n">
        <v>46195</v>
      </c>
      <c r="F64" s="50" t="s">
        <v>338</v>
      </c>
      <c r="G64" s="81" t="s">
        <v>278</v>
      </c>
      <c r="H64" s="82" t="n">
        <v>1068.49</v>
      </c>
      <c r="I64" s="37" t="s">
        <v>226</v>
      </c>
      <c r="J64" s="37" t="s">
        <v>77</v>
      </c>
      <c r="K64" s="37" t="str">
        <f aca="false">TRIM(IF($B64="UNASSIGNED","NO COST CENTRE ","")&amp;IF(ISNA(MATCH($C64,Mapping!$B$7:$B$36,0)),"UNMAPPED ","")&amp;IF(COUNTIFS($C$4:$C64,$C64,$F$4:$F64,$F64,$H$4:$H64,$H64)&gt;1,"DUPLICATE ","")&amp;IF(AND(NOT(ISNA(MATCH($C64,Mapping!$B$7:$B$36,0))),$H64&lt;-'Control Panel'!$E$16),"CREDIT ","")&amp;IF(AND(NOT(ISNA(MATCH($C64,Mapping!$B$7:$B$36,0))),COUNTIFS(Budget!$B$4:$B$107,$B64,Budget!$C$4:$C$107,$D64)=0),"NO BUDGET ",""))</f>
        <v/>
      </c>
      <c r="L64" s="83" t="str">
        <f aca="false">IF($K64="","OK",$K64)</f>
        <v>OK</v>
      </c>
      <c r="M64" s="47" t="str">
        <f aca="false">IF(EXACT($L64,$I64),"ok","CHECK")</f>
        <v>ok</v>
      </c>
    </row>
    <row r="65" customFormat="false" ht="12" hidden="false" customHeight="true" outlineLevel="0" collapsed="false">
      <c r="B65" s="50" t="s">
        <v>145</v>
      </c>
      <c r="C65" s="50" t="s">
        <v>305</v>
      </c>
      <c r="D65" s="79" t="s">
        <v>115</v>
      </c>
      <c r="E65" s="80" t="n">
        <v>46195</v>
      </c>
      <c r="F65" s="50" t="s">
        <v>339</v>
      </c>
      <c r="G65" s="81" t="s">
        <v>340</v>
      </c>
      <c r="H65" s="82" t="n">
        <v>1570.5</v>
      </c>
      <c r="I65" s="37" t="s">
        <v>226</v>
      </c>
      <c r="J65" s="37" t="s">
        <v>77</v>
      </c>
      <c r="K65" s="37" t="str">
        <f aca="false">TRIM(IF($B65="UNASSIGNED","NO COST CENTRE ","")&amp;IF(ISNA(MATCH($C65,Mapping!$B$7:$B$36,0)),"UNMAPPED ","")&amp;IF(COUNTIFS($C$4:$C65,$C65,$F$4:$F65,$F65,$H$4:$H65,$H65)&gt;1,"DUPLICATE ","")&amp;IF(AND(NOT(ISNA(MATCH($C65,Mapping!$B$7:$B$36,0))),$H65&lt;-'Control Panel'!$E$16),"CREDIT ","")&amp;IF(AND(NOT(ISNA(MATCH($C65,Mapping!$B$7:$B$36,0))),COUNTIFS(Budget!$B$4:$B$107,$B65,Budget!$C$4:$C$107,$D65)=0),"NO BUDGET ",""))</f>
        <v/>
      </c>
      <c r="L65" s="83" t="str">
        <f aca="false">IF($K65="","OK",$K65)</f>
        <v>OK</v>
      </c>
      <c r="M65" s="47" t="str">
        <f aca="false">IF(EXACT($L65,$I65),"ok","CHECK")</f>
        <v>ok</v>
      </c>
    </row>
    <row r="66" customFormat="false" ht="12" hidden="false" customHeight="true" outlineLevel="0" collapsed="false">
      <c r="B66" s="50" t="s">
        <v>145</v>
      </c>
      <c r="C66" s="50" t="s">
        <v>244</v>
      </c>
      <c r="D66" s="79" t="s">
        <v>111</v>
      </c>
      <c r="E66" s="80" t="n">
        <v>46197</v>
      </c>
      <c r="F66" s="50" t="s">
        <v>341</v>
      </c>
      <c r="G66" s="81" t="s">
        <v>342</v>
      </c>
      <c r="H66" s="82" t="n">
        <v>4227.11</v>
      </c>
      <c r="I66" s="37" t="s">
        <v>226</v>
      </c>
      <c r="J66" s="37" t="s">
        <v>77</v>
      </c>
      <c r="K66" s="37" t="str">
        <f aca="false">TRIM(IF($B66="UNASSIGNED","NO COST CENTRE ","")&amp;IF(ISNA(MATCH($C66,Mapping!$B$7:$B$36,0)),"UNMAPPED ","")&amp;IF(COUNTIFS($C$4:$C66,$C66,$F$4:$F66,$F66,$H$4:$H66,$H66)&gt;1,"DUPLICATE ","")&amp;IF(AND(NOT(ISNA(MATCH($C66,Mapping!$B$7:$B$36,0))),$H66&lt;-'Control Panel'!$E$16),"CREDIT ","")&amp;IF(AND(NOT(ISNA(MATCH($C66,Mapping!$B$7:$B$36,0))),COUNTIFS(Budget!$B$4:$B$107,$B66,Budget!$C$4:$C$107,$D66)=0),"NO BUDGET ",""))</f>
        <v/>
      </c>
      <c r="L66" s="83" t="str">
        <f aca="false">IF($K66="","OK",$K66)</f>
        <v>OK</v>
      </c>
      <c r="M66" s="47" t="str">
        <f aca="false">IF(EXACT($L66,$I66),"ok","CHECK")</f>
        <v>ok</v>
      </c>
    </row>
    <row r="67" customFormat="false" ht="12" hidden="false" customHeight="true" outlineLevel="0" collapsed="false">
      <c r="B67" s="50" t="s">
        <v>145</v>
      </c>
      <c r="C67" s="50" t="s">
        <v>241</v>
      </c>
      <c r="D67" s="79" t="s">
        <v>111</v>
      </c>
      <c r="E67" s="80" t="n">
        <v>46197</v>
      </c>
      <c r="F67" s="50" t="s">
        <v>343</v>
      </c>
      <c r="G67" s="81" t="s">
        <v>318</v>
      </c>
      <c r="H67" s="82" t="n">
        <v>2831.17</v>
      </c>
      <c r="I67" s="37" t="s">
        <v>226</v>
      </c>
      <c r="J67" s="37" t="s">
        <v>77</v>
      </c>
      <c r="K67" s="37" t="str">
        <f aca="false">TRIM(IF($B67="UNASSIGNED","NO COST CENTRE ","")&amp;IF(ISNA(MATCH($C67,Mapping!$B$7:$B$36,0)),"UNMAPPED ","")&amp;IF(COUNTIFS($C$4:$C67,$C67,$F$4:$F67,$F67,$H$4:$H67,$H67)&gt;1,"DUPLICATE ","")&amp;IF(AND(NOT(ISNA(MATCH($C67,Mapping!$B$7:$B$36,0))),$H67&lt;-'Control Panel'!$E$16),"CREDIT ","")&amp;IF(AND(NOT(ISNA(MATCH($C67,Mapping!$B$7:$B$36,0))),COUNTIFS(Budget!$B$4:$B$107,$B67,Budget!$C$4:$C$107,$D67)=0),"NO BUDGET ",""))</f>
        <v/>
      </c>
      <c r="L67" s="83" t="str">
        <f aca="false">IF($K67="","OK",$K67)</f>
        <v>OK</v>
      </c>
      <c r="M67" s="47" t="str">
        <f aca="false">IF(EXACT($L67,$I67),"ok","CHECK")</f>
        <v>ok</v>
      </c>
    </row>
    <row r="68" customFormat="false" ht="12" hidden="false" customHeight="true" outlineLevel="0" collapsed="false">
      <c r="B68" s="50" t="s">
        <v>145</v>
      </c>
      <c r="C68" s="50" t="s">
        <v>238</v>
      </c>
      <c r="D68" s="79" t="s">
        <v>110</v>
      </c>
      <c r="E68" s="80" t="n">
        <v>46198</v>
      </c>
      <c r="F68" s="50" t="s">
        <v>344</v>
      </c>
      <c r="G68" s="81" t="s">
        <v>345</v>
      </c>
      <c r="H68" s="82" t="n">
        <v>-1240</v>
      </c>
      <c r="I68" s="65" t="s">
        <v>346</v>
      </c>
      <c r="J68" s="37" t="s">
        <v>77</v>
      </c>
      <c r="K68" s="37" t="str">
        <f aca="false">TRIM(IF($B68="UNASSIGNED","NO COST CENTRE ","")&amp;IF(ISNA(MATCH($C68,Mapping!$B$7:$B$36,0)),"UNMAPPED ","")&amp;IF(COUNTIFS($C$4:$C68,$C68,$F$4:$F68,$F68,$H$4:$H68,$H68)&gt;1,"DUPLICATE ","")&amp;IF(AND(NOT(ISNA(MATCH($C68,Mapping!$B$7:$B$36,0))),$H68&lt;-'Control Panel'!$E$16),"CREDIT ","")&amp;IF(AND(NOT(ISNA(MATCH($C68,Mapping!$B$7:$B$36,0))),COUNTIFS(Budget!$B$4:$B$107,$B68,Budget!$C$4:$C$107,$D68)=0),"NO BUDGET ",""))</f>
        <v>CREDIT</v>
      </c>
      <c r="L68" s="83" t="str">
        <f aca="false">IF($K68="","OK",$K68)</f>
        <v>CREDIT</v>
      </c>
      <c r="M68" s="47" t="str">
        <f aca="false">IF(EXACT($L68,$I68),"ok","CHECK")</f>
        <v>ok</v>
      </c>
    </row>
    <row r="69" customFormat="false" ht="12" hidden="false" customHeight="true" outlineLevel="0" collapsed="false">
      <c r="B69" s="50" t="s">
        <v>145</v>
      </c>
      <c r="C69" s="50" t="s">
        <v>289</v>
      </c>
      <c r="D69" s="79" t="s">
        <v>111</v>
      </c>
      <c r="E69" s="80" t="n">
        <v>46198</v>
      </c>
      <c r="F69" s="50" t="s">
        <v>347</v>
      </c>
      <c r="G69" s="81" t="s">
        <v>288</v>
      </c>
      <c r="H69" s="82" t="n">
        <v>2411.05</v>
      </c>
      <c r="I69" s="37" t="s">
        <v>226</v>
      </c>
      <c r="J69" s="37" t="s">
        <v>77</v>
      </c>
      <c r="K69" s="37" t="str">
        <f aca="false">TRIM(IF($B69="UNASSIGNED","NO COST CENTRE ","")&amp;IF(ISNA(MATCH($C69,Mapping!$B$7:$B$36,0)),"UNMAPPED ","")&amp;IF(COUNTIFS($C$4:$C69,$C69,$F$4:$F69,$F69,$H$4:$H69,$H69)&gt;1,"DUPLICATE ","")&amp;IF(AND(NOT(ISNA(MATCH($C69,Mapping!$B$7:$B$36,0))),$H69&lt;-'Control Panel'!$E$16),"CREDIT ","")&amp;IF(AND(NOT(ISNA(MATCH($C69,Mapping!$B$7:$B$36,0))),COUNTIFS(Budget!$B$4:$B$107,$B69,Budget!$C$4:$C$107,$D69)=0),"NO BUDGET ",""))</f>
        <v/>
      </c>
      <c r="L69" s="83" t="str">
        <f aca="false">IF($K69="","OK",$K69)</f>
        <v>OK</v>
      </c>
      <c r="M69" s="47" t="str">
        <f aca="false">IF(EXACT($L69,$I69),"ok","CHECK")</f>
        <v>ok</v>
      </c>
    </row>
    <row r="70" customFormat="false" ht="12" hidden="false" customHeight="true" outlineLevel="0" collapsed="false">
      <c r="B70" s="50" t="s">
        <v>145</v>
      </c>
      <c r="C70" s="50" t="s">
        <v>259</v>
      </c>
      <c r="D70" s="79" t="s">
        <v>111</v>
      </c>
      <c r="E70" s="80" t="n">
        <v>46198</v>
      </c>
      <c r="F70" s="50" t="s">
        <v>348</v>
      </c>
      <c r="G70" s="81" t="s">
        <v>246</v>
      </c>
      <c r="H70" s="82" t="n">
        <v>3767.46</v>
      </c>
      <c r="I70" s="37" t="s">
        <v>226</v>
      </c>
      <c r="J70" s="37" t="s">
        <v>77</v>
      </c>
      <c r="K70" s="37" t="str">
        <f aca="false">TRIM(IF($B70="UNASSIGNED","NO COST CENTRE ","")&amp;IF(ISNA(MATCH($C70,Mapping!$B$7:$B$36,0)),"UNMAPPED ","")&amp;IF(COUNTIFS($C$4:$C70,$C70,$F$4:$F70,$F70,$H$4:$H70,$H70)&gt;1,"DUPLICATE ","")&amp;IF(AND(NOT(ISNA(MATCH($C70,Mapping!$B$7:$B$36,0))),$H70&lt;-'Control Panel'!$E$16),"CREDIT ","")&amp;IF(AND(NOT(ISNA(MATCH($C70,Mapping!$B$7:$B$36,0))),COUNTIFS(Budget!$B$4:$B$107,$B70,Budget!$C$4:$C$107,$D70)=0),"NO BUDGET ",""))</f>
        <v/>
      </c>
      <c r="L70" s="83" t="str">
        <f aca="false">IF($K70="","OK",$K70)</f>
        <v>OK</v>
      </c>
      <c r="M70" s="47" t="str">
        <f aca="false">IF(EXACT($L70,$I70),"ok","CHECK")</f>
        <v>ok</v>
      </c>
    </row>
    <row r="71" customFormat="false" ht="12" hidden="false" customHeight="true" outlineLevel="0" collapsed="false">
      <c r="B71" s="50" t="s">
        <v>145</v>
      </c>
      <c r="C71" s="50" t="s">
        <v>247</v>
      </c>
      <c r="D71" s="79" t="s">
        <v>110</v>
      </c>
      <c r="E71" s="80" t="n">
        <v>46201</v>
      </c>
      <c r="F71" s="50" t="s">
        <v>349</v>
      </c>
      <c r="G71" s="81" t="s">
        <v>330</v>
      </c>
      <c r="H71" s="82" t="n">
        <v>2144.52</v>
      </c>
      <c r="I71" s="37" t="s">
        <v>226</v>
      </c>
      <c r="J71" s="37" t="s">
        <v>77</v>
      </c>
      <c r="K71" s="37" t="str">
        <f aca="false">TRIM(IF($B71="UNASSIGNED","NO COST CENTRE ","")&amp;IF(ISNA(MATCH($C71,Mapping!$B$7:$B$36,0)),"UNMAPPED ","")&amp;IF(COUNTIFS($C$4:$C71,$C71,$F$4:$F71,$F71,$H$4:$H71,$H71)&gt;1,"DUPLICATE ","")&amp;IF(AND(NOT(ISNA(MATCH($C71,Mapping!$B$7:$B$36,0))),$H71&lt;-'Control Panel'!$E$16),"CREDIT ","")&amp;IF(AND(NOT(ISNA(MATCH($C71,Mapping!$B$7:$B$36,0))),COUNTIFS(Budget!$B$4:$B$107,$B71,Budget!$C$4:$C$107,$D71)=0),"NO BUDGET ",""))</f>
        <v/>
      </c>
      <c r="L71" s="83" t="str">
        <f aca="false">IF($K71="","OK",$K71)</f>
        <v>OK</v>
      </c>
      <c r="M71" s="47" t="str">
        <f aca="false">IF(EXACT($L71,$I71),"ok","CHECK")</f>
        <v>ok</v>
      </c>
    </row>
    <row r="72" customFormat="false" ht="12" hidden="false" customHeight="true" outlineLevel="0" collapsed="false">
      <c r="B72" s="50" t="s">
        <v>145</v>
      </c>
      <c r="C72" s="50" t="s">
        <v>250</v>
      </c>
      <c r="D72" s="79" t="s">
        <v>115</v>
      </c>
      <c r="E72" s="80" t="n">
        <v>46202</v>
      </c>
      <c r="F72" s="50" t="s">
        <v>350</v>
      </c>
      <c r="G72" s="81" t="s">
        <v>324</v>
      </c>
      <c r="H72" s="82" t="n">
        <v>1029.22</v>
      </c>
      <c r="I72" s="37" t="s">
        <v>226</v>
      </c>
      <c r="J72" s="37" t="s">
        <v>77</v>
      </c>
      <c r="K72" s="37" t="str">
        <f aca="false">TRIM(IF($B72="UNASSIGNED","NO COST CENTRE ","")&amp;IF(ISNA(MATCH($C72,Mapping!$B$7:$B$36,0)),"UNMAPPED ","")&amp;IF(COUNTIFS($C$4:$C72,$C72,$F$4:$F72,$F72,$H$4:$H72,$H72)&gt;1,"DUPLICATE ","")&amp;IF(AND(NOT(ISNA(MATCH($C72,Mapping!$B$7:$B$36,0))),$H72&lt;-'Control Panel'!$E$16),"CREDIT ","")&amp;IF(AND(NOT(ISNA(MATCH($C72,Mapping!$B$7:$B$36,0))),COUNTIFS(Budget!$B$4:$B$107,$B72,Budget!$C$4:$C$107,$D72)=0),"NO BUDGET ",""))</f>
        <v/>
      </c>
      <c r="L72" s="83" t="str">
        <f aca="false">IF($K72="","OK",$K72)</f>
        <v>OK</v>
      </c>
      <c r="M72" s="47" t="str">
        <f aca="false">IF(EXACT($L72,$I72),"ok","CHECK")</f>
        <v>ok</v>
      </c>
    </row>
    <row r="73" customFormat="false" ht="12" hidden="false" customHeight="true" outlineLevel="0" collapsed="false">
      <c r="B73" s="50" t="s">
        <v>145</v>
      </c>
      <c r="C73" s="50" t="s">
        <v>337</v>
      </c>
      <c r="D73" s="79" t="s">
        <v>109</v>
      </c>
      <c r="E73" s="80" t="n">
        <v>46202</v>
      </c>
      <c r="F73" s="50" t="s">
        <v>351</v>
      </c>
      <c r="G73" s="81" t="s">
        <v>352</v>
      </c>
      <c r="H73" s="82" t="n">
        <v>1974.88</v>
      </c>
      <c r="I73" s="37" t="s">
        <v>226</v>
      </c>
      <c r="J73" s="37" t="s">
        <v>77</v>
      </c>
      <c r="K73" s="37" t="str">
        <f aca="false">TRIM(IF($B73="UNASSIGNED","NO COST CENTRE ","")&amp;IF(ISNA(MATCH($C73,Mapping!$B$7:$B$36,0)),"UNMAPPED ","")&amp;IF(COUNTIFS($C$4:$C73,$C73,$F$4:$F73,$F73,$H$4:$H73,$H73)&gt;1,"DUPLICATE ","")&amp;IF(AND(NOT(ISNA(MATCH($C73,Mapping!$B$7:$B$36,0))),$H73&lt;-'Control Panel'!$E$16),"CREDIT ","")&amp;IF(AND(NOT(ISNA(MATCH($C73,Mapping!$B$7:$B$36,0))),COUNTIFS(Budget!$B$4:$B$107,$B73,Budget!$C$4:$C$107,$D73)=0),"NO BUDGET ",""))</f>
        <v/>
      </c>
      <c r="L73" s="83" t="str">
        <f aca="false">IF($K73="","OK",$K73)</f>
        <v>OK</v>
      </c>
      <c r="M73" s="47" t="str">
        <f aca="false">IF(EXACT($L73,$I73),"ok","CHECK")</f>
        <v>ok</v>
      </c>
    </row>
    <row r="74" customFormat="false" ht="12" hidden="false" customHeight="true" outlineLevel="0" collapsed="false">
      <c r="B74" s="50" t="s">
        <v>145</v>
      </c>
      <c r="C74" s="50" t="s">
        <v>266</v>
      </c>
      <c r="D74" s="79" t="s">
        <v>109</v>
      </c>
      <c r="E74" s="80" t="n">
        <v>46202</v>
      </c>
      <c r="F74" s="50" t="s">
        <v>353</v>
      </c>
      <c r="G74" s="81" t="s">
        <v>354</v>
      </c>
      <c r="H74" s="82" t="n">
        <v>1360.7</v>
      </c>
      <c r="I74" s="37" t="s">
        <v>226</v>
      </c>
      <c r="J74" s="37" t="s">
        <v>77</v>
      </c>
      <c r="K74" s="37" t="str">
        <f aca="false">TRIM(IF($B74="UNASSIGNED","NO COST CENTRE ","")&amp;IF(ISNA(MATCH($C74,Mapping!$B$7:$B$36,0)),"UNMAPPED ","")&amp;IF(COUNTIFS($C$4:$C74,$C74,$F$4:$F74,$F74,$H$4:$H74,$H74)&gt;1,"DUPLICATE ","")&amp;IF(AND(NOT(ISNA(MATCH($C74,Mapping!$B$7:$B$36,0))),$H74&lt;-'Control Panel'!$E$16),"CREDIT ","")&amp;IF(AND(NOT(ISNA(MATCH($C74,Mapping!$B$7:$B$36,0))),COUNTIFS(Budget!$B$4:$B$107,$B74,Budget!$C$4:$C$107,$D74)=0),"NO BUDGET ",""))</f>
        <v/>
      </c>
      <c r="L74" s="83" t="str">
        <f aca="false">IF($K74="","OK",$K74)</f>
        <v>OK</v>
      </c>
      <c r="M74" s="47" t="str">
        <f aca="false">IF(EXACT($L74,$I74),"ok","CHECK")</f>
        <v>ok</v>
      </c>
    </row>
    <row r="75" customFormat="false" ht="12" hidden="false" customHeight="true" outlineLevel="0" collapsed="false">
      <c r="B75" s="50" t="s">
        <v>145</v>
      </c>
      <c r="C75" s="50" t="s">
        <v>238</v>
      </c>
      <c r="D75" s="79" t="s">
        <v>110</v>
      </c>
      <c r="E75" s="80" t="n">
        <v>46202</v>
      </c>
      <c r="F75" s="50" t="s">
        <v>355</v>
      </c>
      <c r="G75" s="81" t="s">
        <v>356</v>
      </c>
      <c r="H75" s="82" t="n">
        <v>2125.66</v>
      </c>
      <c r="I75" s="37" t="s">
        <v>226</v>
      </c>
      <c r="J75" s="37" t="s">
        <v>77</v>
      </c>
      <c r="K75" s="37" t="str">
        <f aca="false">TRIM(IF($B75="UNASSIGNED","NO COST CENTRE ","")&amp;IF(ISNA(MATCH($C75,Mapping!$B$7:$B$36,0)),"UNMAPPED ","")&amp;IF(COUNTIFS($C$4:$C75,$C75,$F$4:$F75,$F75,$H$4:$H75,$H75)&gt;1,"DUPLICATE ","")&amp;IF(AND(NOT(ISNA(MATCH($C75,Mapping!$B$7:$B$36,0))),$H75&lt;-'Control Panel'!$E$16),"CREDIT ","")&amp;IF(AND(NOT(ISNA(MATCH($C75,Mapping!$B$7:$B$36,0))),COUNTIFS(Budget!$B$4:$B$107,$B75,Budget!$C$4:$C$107,$D75)=0),"NO BUDGET ",""))</f>
        <v/>
      </c>
      <c r="L75" s="83" t="str">
        <f aca="false">IF($K75="","OK",$K75)</f>
        <v>OK</v>
      </c>
      <c r="M75" s="47" t="str">
        <f aca="false">IF(EXACT($L75,$I75),"ok","CHECK")</f>
        <v>ok</v>
      </c>
    </row>
    <row r="76" customFormat="false" ht="12" hidden="false" customHeight="true" outlineLevel="0" collapsed="false">
      <c r="B76" s="50" t="s">
        <v>145</v>
      </c>
      <c r="C76" s="50" t="s">
        <v>238</v>
      </c>
      <c r="D76" s="79" t="s">
        <v>110</v>
      </c>
      <c r="E76" s="80" t="n">
        <v>46202</v>
      </c>
      <c r="F76" s="50" t="s">
        <v>357</v>
      </c>
      <c r="G76" s="81" t="s">
        <v>297</v>
      </c>
      <c r="H76" s="82" t="n">
        <v>2942.77</v>
      </c>
      <c r="I76" s="37" t="s">
        <v>226</v>
      </c>
      <c r="J76" s="37" t="s">
        <v>77</v>
      </c>
      <c r="K76" s="37" t="str">
        <f aca="false">TRIM(IF($B76="UNASSIGNED","NO COST CENTRE ","")&amp;IF(ISNA(MATCH($C76,Mapping!$B$7:$B$36,0)),"UNMAPPED ","")&amp;IF(COUNTIFS($C$4:$C76,$C76,$F$4:$F76,$F76,$H$4:$H76,$H76)&gt;1,"DUPLICATE ","")&amp;IF(AND(NOT(ISNA(MATCH($C76,Mapping!$B$7:$B$36,0))),$H76&lt;-'Control Panel'!$E$16),"CREDIT ","")&amp;IF(AND(NOT(ISNA(MATCH($C76,Mapping!$B$7:$B$36,0))),COUNTIFS(Budget!$B$4:$B$107,$B76,Budget!$C$4:$C$107,$D76)=0),"NO BUDGET ",""))</f>
        <v/>
      </c>
      <c r="L76" s="83" t="str">
        <f aca="false">IF($K76="","OK",$K76)</f>
        <v>OK</v>
      </c>
      <c r="M76" s="47" t="str">
        <f aca="false">IF(EXACT($L76,$I76),"ok","CHECK")</f>
        <v>ok</v>
      </c>
    </row>
    <row r="77" customFormat="false" ht="12" hidden="false" customHeight="true" outlineLevel="0" collapsed="false">
      <c r="B77" s="50" t="s">
        <v>145</v>
      </c>
      <c r="C77" s="50" t="s">
        <v>244</v>
      </c>
      <c r="D77" s="79" t="s">
        <v>111</v>
      </c>
      <c r="E77" s="80" t="n">
        <v>46203</v>
      </c>
      <c r="F77" s="50" t="s">
        <v>358</v>
      </c>
      <c r="G77" s="81" t="s">
        <v>261</v>
      </c>
      <c r="H77" s="82" t="n">
        <v>2776.73</v>
      </c>
      <c r="I77" s="37" t="s">
        <v>226</v>
      </c>
      <c r="J77" s="37" t="s">
        <v>77</v>
      </c>
      <c r="K77" s="37" t="str">
        <f aca="false">TRIM(IF($B77="UNASSIGNED","NO COST CENTRE ","")&amp;IF(ISNA(MATCH($C77,Mapping!$B$7:$B$36,0)),"UNMAPPED ","")&amp;IF(COUNTIFS($C$4:$C77,$C77,$F$4:$F77,$F77,$H$4:$H77,$H77)&gt;1,"DUPLICATE ","")&amp;IF(AND(NOT(ISNA(MATCH($C77,Mapping!$B$7:$B$36,0))),$H77&lt;-'Control Panel'!$E$16),"CREDIT ","")&amp;IF(AND(NOT(ISNA(MATCH($C77,Mapping!$B$7:$B$36,0))),COUNTIFS(Budget!$B$4:$B$107,$B77,Budget!$C$4:$C$107,$D77)=0),"NO BUDGET ",""))</f>
        <v/>
      </c>
      <c r="L77" s="83" t="str">
        <f aca="false">IF($K77="","OK",$K77)</f>
        <v>OK</v>
      </c>
      <c r="M77" s="47" t="str">
        <f aca="false">IF(EXACT($L77,$I77),"ok","CHECK")</f>
        <v>ok</v>
      </c>
    </row>
    <row r="78" customFormat="false" ht="12" hidden="false" customHeight="true" outlineLevel="0" collapsed="false">
      <c r="B78" s="50" t="s">
        <v>145</v>
      </c>
      <c r="C78" s="50" t="s">
        <v>241</v>
      </c>
      <c r="D78" s="79" t="s">
        <v>111</v>
      </c>
      <c r="E78" s="80" t="n">
        <v>46203</v>
      </c>
      <c r="F78" s="50" t="s">
        <v>359</v>
      </c>
      <c r="G78" s="81" t="s">
        <v>360</v>
      </c>
      <c r="H78" s="82" t="n">
        <v>3815.91</v>
      </c>
      <c r="I78" s="37" t="s">
        <v>226</v>
      </c>
      <c r="J78" s="37" t="s">
        <v>77</v>
      </c>
      <c r="K78" s="37" t="str">
        <f aca="false">TRIM(IF($B78="UNASSIGNED","NO COST CENTRE ","")&amp;IF(ISNA(MATCH($C78,Mapping!$B$7:$B$36,0)),"UNMAPPED ","")&amp;IF(COUNTIFS($C$4:$C78,$C78,$F$4:$F78,$F78,$H$4:$H78,$H78)&gt;1,"DUPLICATE ","")&amp;IF(AND(NOT(ISNA(MATCH($C78,Mapping!$B$7:$B$36,0))),$H78&lt;-'Control Panel'!$E$16),"CREDIT ","")&amp;IF(AND(NOT(ISNA(MATCH($C78,Mapping!$B$7:$B$36,0))),COUNTIFS(Budget!$B$4:$B$107,$B78,Budget!$C$4:$C$107,$D78)=0),"NO BUDGET ",""))</f>
        <v/>
      </c>
      <c r="L78" s="83" t="str">
        <f aca="false">IF($K78="","OK",$K78)</f>
        <v>OK</v>
      </c>
      <c r="M78" s="47" t="str">
        <f aca="false">IF(EXACT($L78,$I78),"ok","CHECK")</f>
        <v>ok</v>
      </c>
    </row>
    <row r="79" customFormat="false" ht="12" hidden="false" customHeight="true" outlineLevel="0" collapsed="false">
      <c r="B79" s="50" t="s">
        <v>146</v>
      </c>
      <c r="C79" s="50" t="s">
        <v>238</v>
      </c>
      <c r="D79" s="79" t="s">
        <v>110</v>
      </c>
      <c r="E79" s="80" t="n">
        <v>46174</v>
      </c>
      <c r="F79" s="50" t="s">
        <v>361</v>
      </c>
      <c r="G79" s="81" t="s">
        <v>270</v>
      </c>
      <c r="H79" s="82" t="n">
        <v>2626.55</v>
      </c>
      <c r="I79" s="37" t="s">
        <v>226</v>
      </c>
      <c r="J79" s="37" t="s">
        <v>77</v>
      </c>
      <c r="K79" s="37" t="str">
        <f aca="false">TRIM(IF($B79="UNASSIGNED","NO COST CENTRE ","")&amp;IF(ISNA(MATCH($C79,Mapping!$B$7:$B$36,0)),"UNMAPPED ","")&amp;IF(COUNTIFS($C$4:$C79,$C79,$F$4:$F79,$F79,$H$4:$H79,$H79)&gt;1,"DUPLICATE ","")&amp;IF(AND(NOT(ISNA(MATCH($C79,Mapping!$B$7:$B$36,0))),$H79&lt;-'Control Panel'!$E$16),"CREDIT ","")&amp;IF(AND(NOT(ISNA(MATCH($C79,Mapping!$B$7:$B$36,0))),COUNTIFS(Budget!$B$4:$B$107,$B79,Budget!$C$4:$C$107,$D79)=0),"NO BUDGET ",""))</f>
        <v/>
      </c>
      <c r="L79" s="83" t="str">
        <f aca="false">IF($K79="","OK",$K79)</f>
        <v>OK</v>
      </c>
      <c r="M79" s="47" t="str">
        <f aca="false">IF(EXACT($L79,$I79),"ok","CHECK")</f>
        <v>ok</v>
      </c>
    </row>
    <row r="80" customFormat="false" ht="12" hidden="false" customHeight="true" outlineLevel="0" collapsed="false">
      <c r="B80" s="50" t="s">
        <v>146</v>
      </c>
      <c r="C80" s="50" t="s">
        <v>362</v>
      </c>
      <c r="D80" s="79" t="s">
        <v>120</v>
      </c>
      <c r="E80" s="80" t="n">
        <v>46174</v>
      </c>
      <c r="F80" s="50" t="s">
        <v>363</v>
      </c>
      <c r="G80" s="81" t="s">
        <v>364</v>
      </c>
      <c r="H80" s="82" t="n">
        <v>362.22</v>
      </c>
      <c r="I80" s="37" t="s">
        <v>226</v>
      </c>
      <c r="J80" s="37" t="s">
        <v>77</v>
      </c>
      <c r="K80" s="37" t="str">
        <f aca="false">TRIM(IF($B80="UNASSIGNED","NO COST CENTRE ","")&amp;IF(ISNA(MATCH($C80,Mapping!$B$7:$B$36,0)),"UNMAPPED ","")&amp;IF(COUNTIFS($C$4:$C80,$C80,$F$4:$F80,$F80,$H$4:$H80,$H80)&gt;1,"DUPLICATE ","")&amp;IF(AND(NOT(ISNA(MATCH($C80,Mapping!$B$7:$B$36,0))),$H80&lt;-'Control Panel'!$E$16),"CREDIT ","")&amp;IF(AND(NOT(ISNA(MATCH($C80,Mapping!$B$7:$B$36,0))),COUNTIFS(Budget!$B$4:$B$107,$B80,Budget!$C$4:$C$107,$D80)=0),"NO BUDGET ",""))</f>
        <v/>
      </c>
      <c r="L80" s="83" t="str">
        <f aca="false">IF($K80="","OK",$K80)</f>
        <v>OK</v>
      </c>
      <c r="M80" s="47" t="str">
        <f aca="false">IF(EXACT($L80,$I80),"ok","CHECK")</f>
        <v>ok</v>
      </c>
    </row>
    <row r="81" customFormat="false" ht="12" hidden="false" customHeight="true" outlineLevel="0" collapsed="false">
      <c r="B81" s="50" t="s">
        <v>146</v>
      </c>
      <c r="C81" s="50" t="s">
        <v>289</v>
      </c>
      <c r="D81" s="79" t="s">
        <v>111</v>
      </c>
      <c r="E81" s="80" t="n">
        <v>46174</v>
      </c>
      <c r="F81" s="50" t="s">
        <v>365</v>
      </c>
      <c r="G81" s="81" t="s">
        <v>246</v>
      </c>
      <c r="H81" s="82" t="n">
        <v>2468.89</v>
      </c>
      <c r="I81" s="37" t="s">
        <v>226</v>
      </c>
      <c r="J81" s="37" t="s">
        <v>77</v>
      </c>
      <c r="K81" s="37" t="str">
        <f aca="false">TRIM(IF($B81="UNASSIGNED","NO COST CENTRE ","")&amp;IF(ISNA(MATCH($C81,Mapping!$B$7:$B$36,0)),"UNMAPPED ","")&amp;IF(COUNTIFS($C$4:$C81,$C81,$F$4:$F81,$F81,$H$4:$H81,$H81)&gt;1,"DUPLICATE ","")&amp;IF(AND(NOT(ISNA(MATCH($C81,Mapping!$B$7:$B$36,0))),$H81&lt;-'Control Panel'!$E$16),"CREDIT ","")&amp;IF(AND(NOT(ISNA(MATCH($C81,Mapping!$B$7:$B$36,0))),COUNTIFS(Budget!$B$4:$B$107,$B81,Budget!$C$4:$C$107,$D81)=0),"NO BUDGET ",""))</f>
        <v/>
      </c>
      <c r="L81" s="83" t="str">
        <f aca="false">IF($K81="","OK",$K81)</f>
        <v>OK</v>
      </c>
      <c r="M81" s="47" t="str">
        <f aca="false">IF(EXACT($L81,$I81),"ok","CHECK")</f>
        <v>ok</v>
      </c>
    </row>
    <row r="82" customFormat="false" ht="12" hidden="false" customHeight="true" outlineLevel="0" collapsed="false">
      <c r="B82" s="50" t="s">
        <v>146</v>
      </c>
      <c r="C82" s="50" t="s">
        <v>305</v>
      </c>
      <c r="D82" s="79" t="s">
        <v>115</v>
      </c>
      <c r="E82" s="80" t="n">
        <v>46174</v>
      </c>
      <c r="F82" s="50" t="s">
        <v>366</v>
      </c>
      <c r="G82" s="81" t="s">
        <v>367</v>
      </c>
      <c r="H82" s="82" t="n">
        <v>934.67</v>
      </c>
      <c r="I82" s="37" t="s">
        <v>226</v>
      </c>
      <c r="J82" s="37" t="s">
        <v>77</v>
      </c>
      <c r="K82" s="37" t="str">
        <f aca="false">TRIM(IF($B82="UNASSIGNED","NO COST CENTRE ","")&amp;IF(ISNA(MATCH($C82,Mapping!$B$7:$B$36,0)),"UNMAPPED ","")&amp;IF(COUNTIFS($C$4:$C82,$C82,$F$4:$F82,$F82,$H$4:$H82,$H82)&gt;1,"DUPLICATE ","")&amp;IF(AND(NOT(ISNA(MATCH($C82,Mapping!$B$7:$B$36,0))),$H82&lt;-'Control Panel'!$E$16),"CREDIT ","")&amp;IF(AND(NOT(ISNA(MATCH($C82,Mapping!$B$7:$B$36,0))),COUNTIFS(Budget!$B$4:$B$107,$B82,Budget!$C$4:$C$107,$D82)=0),"NO BUDGET ",""))</f>
        <v/>
      </c>
      <c r="L82" s="83" t="str">
        <f aca="false">IF($K82="","OK",$K82)</f>
        <v>OK</v>
      </c>
      <c r="M82" s="47" t="str">
        <f aca="false">IF(EXACT($L82,$I82),"ok","CHECK")</f>
        <v>ok</v>
      </c>
    </row>
    <row r="83" customFormat="false" ht="12" hidden="false" customHeight="true" outlineLevel="0" collapsed="false">
      <c r="B83" s="50" t="s">
        <v>146</v>
      </c>
      <c r="C83" s="50" t="s">
        <v>223</v>
      </c>
      <c r="D83" s="79" t="s">
        <v>113</v>
      </c>
      <c r="E83" s="80" t="n">
        <v>46174</v>
      </c>
      <c r="F83" s="50" t="s">
        <v>368</v>
      </c>
      <c r="G83" s="81" t="s">
        <v>322</v>
      </c>
      <c r="H83" s="82" t="n">
        <v>3018.85</v>
      </c>
      <c r="I83" s="37" t="s">
        <v>226</v>
      </c>
      <c r="J83" s="37" t="s">
        <v>77</v>
      </c>
      <c r="K83" s="37" t="str">
        <f aca="false">TRIM(IF($B83="UNASSIGNED","NO COST CENTRE ","")&amp;IF(ISNA(MATCH($C83,Mapping!$B$7:$B$36,0)),"UNMAPPED ","")&amp;IF(COUNTIFS($C$4:$C83,$C83,$F$4:$F83,$F83,$H$4:$H83,$H83)&gt;1,"DUPLICATE ","")&amp;IF(AND(NOT(ISNA(MATCH($C83,Mapping!$B$7:$B$36,0))),$H83&lt;-'Control Panel'!$E$16),"CREDIT ","")&amp;IF(AND(NOT(ISNA(MATCH($C83,Mapping!$B$7:$B$36,0))),COUNTIFS(Budget!$B$4:$B$107,$B83,Budget!$C$4:$C$107,$D83)=0),"NO BUDGET ",""))</f>
        <v/>
      </c>
      <c r="L83" s="83" t="str">
        <f aca="false">IF($K83="","OK",$K83)</f>
        <v>OK</v>
      </c>
      <c r="M83" s="47" t="str">
        <f aca="false">IF(EXACT($L83,$I83),"ok","CHECK")</f>
        <v>ok</v>
      </c>
    </row>
    <row r="84" customFormat="false" ht="12" hidden="false" customHeight="true" outlineLevel="0" collapsed="false">
      <c r="B84" s="50" t="s">
        <v>146</v>
      </c>
      <c r="C84" s="50" t="s">
        <v>247</v>
      </c>
      <c r="D84" s="79" t="s">
        <v>110</v>
      </c>
      <c r="E84" s="80" t="n">
        <v>46175</v>
      </c>
      <c r="F84" s="50" t="s">
        <v>369</v>
      </c>
      <c r="G84" s="81" t="s">
        <v>356</v>
      </c>
      <c r="H84" s="82" t="n">
        <v>2344.71</v>
      </c>
      <c r="I84" s="37" t="s">
        <v>226</v>
      </c>
      <c r="J84" s="37" t="s">
        <v>77</v>
      </c>
      <c r="K84" s="37" t="str">
        <f aca="false">TRIM(IF($B84="UNASSIGNED","NO COST CENTRE ","")&amp;IF(ISNA(MATCH($C84,Mapping!$B$7:$B$36,0)),"UNMAPPED ","")&amp;IF(COUNTIFS($C$4:$C84,$C84,$F$4:$F84,$F84,$H$4:$H84,$H84)&gt;1,"DUPLICATE ","")&amp;IF(AND(NOT(ISNA(MATCH($C84,Mapping!$B$7:$B$36,0))),$H84&lt;-'Control Panel'!$E$16),"CREDIT ","")&amp;IF(AND(NOT(ISNA(MATCH($C84,Mapping!$B$7:$B$36,0))),COUNTIFS(Budget!$B$4:$B$107,$B84,Budget!$C$4:$C$107,$D84)=0),"NO BUDGET ",""))</f>
        <v/>
      </c>
      <c r="L84" s="83" t="str">
        <f aca="false">IF($K84="","OK",$K84)</f>
        <v>OK</v>
      </c>
      <c r="M84" s="47" t="str">
        <f aca="false">IF(EXACT($L84,$I84),"ok","CHECK")</f>
        <v>ok</v>
      </c>
    </row>
    <row r="85" customFormat="false" ht="12" hidden="false" customHeight="true" outlineLevel="0" collapsed="false">
      <c r="B85" s="50" t="s">
        <v>146</v>
      </c>
      <c r="C85" s="50" t="s">
        <v>337</v>
      </c>
      <c r="D85" s="79" t="s">
        <v>109</v>
      </c>
      <c r="E85" s="80" t="n">
        <v>46175</v>
      </c>
      <c r="F85" s="50" t="s">
        <v>370</v>
      </c>
      <c r="G85" s="81" t="s">
        <v>272</v>
      </c>
      <c r="H85" s="82" t="n">
        <v>1286.84</v>
      </c>
      <c r="I85" s="37" t="s">
        <v>226</v>
      </c>
      <c r="J85" s="37" t="s">
        <v>77</v>
      </c>
      <c r="K85" s="37" t="str">
        <f aca="false">TRIM(IF($B85="UNASSIGNED","NO COST CENTRE ","")&amp;IF(ISNA(MATCH($C85,Mapping!$B$7:$B$36,0)),"UNMAPPED ","")&amp;IF(COUNTIFS($C$4:$C85,$C85,$F$4:$F85,$F85,$H$4:$H85,$H85)&gt;1,"DUPLICATE ","")&amp;IF(AND(NOT(ISNA(MATCH($C85,Mapping!$B$7:$B$36,0))),$H85&lt;-'Control Panel'!$E$16),"CREDIT ","")&amp;IF(AND(NOT(ISNA(MATCH($C85,Mapping!$B$7:$B$36,0))),COUNTIFS(Budget!$B$4:$B$107,$B85,Budget!$C$4:$C$107,$D85)=0),"NO BUDGET ",""))</f>
        <v/>
      </c>
      <c r="L85" s="83" t="str">
        <f aca="false">IF($K85="","OK",$K85)</f>
        <v>OK</v>
      </c>
      <c r="M85" s="47" t="str">
        <f aca="false">IF(EXACT($L85,$I85),"ok","CHECK")</f>
        <v>ok</v>
      </c>
    </row>
    <row r="86" customFormat="false" ht="12" hidden="false" customHeight="true" outlineLevel="0" collapsed="false">
      <c r="B86" s="50" t="s">
        <v>146</v>
      </c>
      <c r="C86" s="50" t="s">
        <v>238</v>
      </c>
      <c r="D86" s="79" t="s">
        <v>110</v>
      </c>
      <c r="E86" s="80" t="n">
        <v>46175</v>
      </c>
      <c r="F86" s="50" t="s">
        <v>371</v>
      </c>
      <c r="G86" s="81" t="s">
        <v>356</v>
      </c>
      <c r="H86" s="82" t="n">
        <v>2404.32</v>
      </c>
      <c r="I86" s="37" t="s">
        <v>226</v>
      </c>
      <c r="J86" s="37" t="s">
        <v>77</v>
      </c>
      <c r="K86" s="37" t="str">
        <f aca="false">TRIM(IF($B86="UNASSIGNED","NO COST CENTRE ","")&amp;IF(ISNA(MATCH($C86,Mapping!$B$7:$B$36,0)),"UNMAPPED ","")&amp;IF(COUNTIFS($C$4:$C86,$C86,$F$4:$F86,$F86,$H$4:$H86,$H86)&gt;1,"DUPLICATE ","")&amp;IF(AND(NOT(ISNA(MATCH($C86,Mapping!$B$7:$B$36,0))),$H86&lt;-'Control Panel'!$E$16),"CREDIT ","")&amp;IF(AND(NOT(ISNA(MATCH($C86,Mapping!$B$7:$B$36,0))),COUNTIFS(Budget!$B$4:$B$107,$B86,Budget!$C$4:$C$107,$D86)=0),"NO BUDGET ",""))</f>
        <v/>
      </c>
      <c r="L86" s="83" t="str">
        <f aca="false">IF($K86="","OK",$K86)</f>
        <v>OK</v>
      </c>
      <c r="M86" s="47" t="str">
        <f aca="false">IF(EXACT($L86,$I86),"ok","CHECK")</f>
        <v>ok</v>
      </c>
    </row>
    <row r="87" customFormat="false" ht="12" hidden="false" customHeight="true" outlineLevel="0" collapsed="false">
      <c r="B87" s="50" t="s">
        <v>146</v>
      </c>
      <c r="C87" s="50" t="s">
        <v>305</v>
      </c>
      <c r="D87" s="79" t="s">
        <v>115</v>
      </c>
      <c r="E87" s="80" t="n">
        <v>46175</v>
      </c>
      <c r="F87" s="50" t="s">
        <v>372</v>
      </c>
      <c r="G87" s="81" t="s">
        <v>307</v>
      </c>
      <c r="H87" s="82" t="n">
        <v>1154.3</v>
      </c>
      <c r="I87" s="37" t="s">
        <v>226</v>
      </c>
      <c r="J87" s="37" t="s">
        <v>77</v>
      </c>
      <c r="K87" s="37" t="str">
        <f aca="false">TRIM(IF($B87="UNASSIGNED","NO COST CENTRE ","")&amp;IF(ISNA(MATCH($C87,Mapping!$B$7:$B$36,0)),"UNMAPPED ","")&amp;IF(COUNTIFS($C$4:$C87,$C87,$F$4:$F87,$F87,$H$4:$H87,$H87)&gt;1,"DUPLICATE ","")&amp;IF(AND(NOT(ISNA(MATCH($C87,Mapping!$B$7:$B$36,0))),$H87&lt;-'Control Panel'!$E$16),"CREDIT ","")&amp;IF(AND(NOT(ISNA(MATCH($C87,Mapping!$B$7:$B$36,0))),COUNTIFS(Budget!$B$4:$B$107,$B87,Budget!$C$4:$C$107,$D87)=0),"NO BUDGET ",""))</f>
        <v/>
      </c>
      <c r="L87" s="83" t="str">
        <f aca="false">IF($K87="","OK",$K87)</f>
        <v>OK</v>
      </c>
      <c r="M87" s="47" t="str">
        <f aca="false">IF(EXACT($L87,$I87),"ok","CHECK")</f>
        <v>ok</v>
      </c>
    </row>
    <row r="88" customFormat="false" ht="12" hidden="false" customHeight="true" outlineLevel="0" collapsed="false">
      <c r="B88" s="50" t="s">
        <v>146</v>
      </c>
      <c r="C88" s="50" t="s">
        <v>337</v>
      </c>
      <c r="D88" s="79" t="s">
        <v>109</v>
      </c>
      <c r="E88" s="80" t="n">
        <v>46176</v>
      </c>
      <c r="F88" s="50" t="s">
        <v>373</v>
      </c>
      <c r="G88" s="81" t="s">
        <v>304</v>
      </c>
      <c r="H88" s="82" t="n">
        <v>1855.36</v>
      </c>
      <c r="I88" s="37" t="s">
        <v>226</v>
      </c>
      <c r="J88" s="37" t="s">
        <v>77</v>
      </c>
      <c r="K88" s="37" t="str">
        <f aca="false">TRIM(IF($B88="UNASSIGNED","NO COST CENTRE ","")&amp;IF(ISNA(MATCH($C88,Mapping!$B$7:$B$36,0)),"UNMAPPED ","")&amp;IF(COUNTIFS($C$4:$C88,$C88,$F$4:$F88,$F88,$H$4:$H88,$H88)&gt;1,"DUPLICATE ","")&amp;IF(AND(NOT(ISNA(MATCH($C88,Mapping!$B$7:$B$36,0))),$H88&lt;-'Control Panel'!$E$16),"CREDIT ","")&amp;IF(AND(NOT(ISNA(MATCH($C88,Mapping!$B$7:$B$36,0))),COUNTIFS(Budget!$B$4:$B$107,$B88,Budget!$C$4:$C$107,$D88)=0),"NO BUDGET ",""))</f>
        <v/>
      </c>
      <c r="L88" s="83" t="str">
        <f aca="false">IF($K88="","OK",$K88)</f>
        <v>OK</v>
      </c>
      <c r="M88" s="47" t="str">
        <f aca="false">IF(EXACT($L88,$I88),"ok","CHECK")</f>
        <v>ok</v>
      </c>
    </row>
    <row r="89" customFormat="false" ht="12" hidden="false" customHeight="true" outlineLevel="0" collapsed="false">
      <c r="B89" s="50" t="s">
        <v>146</v>
      </c>
      <c r="C89" s="50" t="s">
        <v>223</v>
      </c>
      <c r="D89" s="79" t="s">
        <v>113</v>
      </c>
      <c r="E89" s="80" t="n">
        <v>46176</v>
      </c>
      <c r="F89" s="50" t="s">
        <v>374</v>
      </c>
      <c r="G89" s="81" t="s">
        <v>375</v>
      </c>
      <c r="H89" s="82" t="n">
        <v>3398.29</v>
      </c>
      <c r="I89" s="37" t="s">
        <v>226</v>
      </c>
      <c r="J89" s="37" t="s">
        <v>77</v>
      </c>
      <c r="K89" s="37" t="str">
        <f aca="false">TRIM(IF($B89="UNASSIGNED","NO COST CENTRE ","")&amp;IF(ISNA(MATCH($C89,Mapping!$B$7:$B$36,0)),"UNMAPPED ","")&amp;IF(COUNTIFS($C$4:$C89,$C89,$F$4:$F89,$F89,$H$4:$H89,$H89)&gt;1,"DUPLICATE ","")&amp;IF(AND(NOT(ISNA(MATCH($C89,Mapping!$B$7:$B$36,0))),$H89&lt;-'Control Panel'!$E$16),"CREDIT ","")&amp;IF(AND(NOT(ISNA(MATCH($C89,Mapping!$B$7:$B$36,0))),COUNTIFS(Budget!$B$4:$B$107,$B89,Budget!$C$4:$C$107,$D89)=0),"NO BUDGET ",""))</f>
        <v/>
      </c>
      <c r="L89" s="83" t="str">
        <f aca="false">IF($K89="","OK",$K89)</f>
        <v>OK</v>
      </c>
      <c r="M89" s="47" t="str">
        <f aca="false">IF(EXACT($L89,$I89),"ok","CHECK")</f>
        <v>ok</v>
      </c>
    </row>
    <row r="90" customFormat="false" ht="12" hidden="false" customHeight="true" outlineLevel="0" collapsed="false">
      <c r="B90" s="50" t="s">
        <v>146</v>
      </c>
      <c r="C90" s="50" t="s">
        <v>223</v>
      </c>
      <c r="D90" s="79" t="s">
        <v>113</v>
      </c>
      <c r="E90" s="80" t="n">
        <v>46176</v>
      </c>
      <c r="F90" s="50" t="s">
        <v>376</v>
      </c>
      <c r="G90" s="81" t="s">
        <v>315</v>
      </c>
      <c r="H90" s="82" t="n">
        <v>2865.7</v>
      </c>
      <c r="I90" s="37" t="s">
        <v>226</v>
      </c>
      <c r="J90" s="37" t="s">
        <v>77</v>
      </c>
      <c r="K90" s="37" t="str">
        <f aca="false">TRIM(IF($B90="UNASSIGNED","NO COST CENTRE ","")&amp;IF(ISNA(MATCH($C90,Mapping!$B$7:$B$36,0)),"UNMAPPED ","")&amp;IF(COUNTIFS($C$4:$C90,$C90,$F$4:$F90,$F90,$H$4:$H90,$H90)&gt;1,"DUPLICATE ","")&amp;IF(AND(NOT(ISNA(MATCH($C90,Mapping!$B$7:$B$36,0))),$H90&lt;-'Control Panel'!$E$16),"CREDIT ","")&amp;IF(AND(NOT(ISNA(MATCH($C90,Mapping!$B$7:$B$36,0))),COUNTIFS(Budget!$B$4:$B$107,$B90,Budget!$C$4:$C$107,$D90)=0),"NO BUDGET ",""))</f>
        <v/>
      </c>
      <c r="L90" s="83" t="str">
        <f aca="false">IF($K90="","OK",$K90)</f>
        <v>OK</v>
      </c>
      <c r="M90" s="47" t="str">
        <f aca="false">IF(EXACT($L90,$I90),"ok","CHECK")</f>
        <v>ok</v>
      </c>
    </row>
    <row r="91" customFormat="false" ht="12" hidden="false" customHeight="true" outlineLevel="0" collapsed="false">
      <c r="B91" s="50" t="s">
        <v>146</v>
      </c>
      <c r="C91" s="50" t="s">
        <v>377</v>
      </c>
      <c r="D91" s="79" t="s">
        <v>114</v>
      </c>
      <c r="E91" s="80" t="n">
        <v>46177</v>
      </c>
      <c r="F91" s="50" t="s">
        <v>378</v>
      </c>
      <c r="G91" s="81" t="s">
        <v>379</v>
      </c>
      <c r="H91" s="82" t="n">
        <v>988.02</v>
      </c>
      <c r="I91" s="37" t="s">
        <v>226</v>
      </c>
      <c r="J91" s="37" t="s">
        <v>77</v>
      </c>
      <c r="K91" s="37" t="str">
        <f aca="false">TRIM(IF($B91="UNASSIGNED","NO COST CENTRE ","")&amp;IF(ISNA(MATCH($C91,Mapping!$B$7:$B$36,0)),"UNMAPPED ","")&amp;IF(COUNTIFS($C$4:$C91,$C91,$F$4:$F91,$F91,$H$4:$H91,$H91)&gt;1,"DUPLICATE ","")&amp;IF(AND(NOT(ISNA(MATCH($C91,Mapping!$B$7:$B$36,0))),$H91&lt;-'Control Panel'!$E$16),"CREDIT ","")&amp;IF(AND(NOT(ISNA(MATCH($C91,Mapping!$B$7:$B$36,0))),COUNTIFS(Budget!$B$4:$B$107,$B91,Budget!$C$4:$C$107,$D91)=0),"NO BUDGET ",""))</f>
        <v/>
      </c>
      <c r="L91" s="83" t="str">
        <f aca="false">IF($K91="","OK",$K91)</f>
        <v>OK</v>
      </c>
      <c r="M91" s="47" t="str">
        <f aca="false">IF(EXACT($L91,$I91),"ok","CHECK")</f>
        <v>ok</v>
      </c>
    </row>
    <row r="92" customFormat="false" ht="12" hidden="false" customHeight="true" outlineLevel="0" collapsed="false">
      <c r="B92" s="50" t="s">
        <v>146</v>
      </c>
      <c r="C92" s="50" t="s">
        <v>247</v>
      </c>
      <c r="D92" s="79" t="s">
        <v>110</v>
      </c>
      <c r="E92" s="80" t="n">
        <v>46177</v>
      </c>
      <c r="F92" s="50" t="s">
        <v>380</v>
      </c>
      <c r="G92" s="81" t="s">
        <v>270</v>
      </c>
      <c r="H92" s="82" t="n">
        <v>1760.02</v>
      </c>
      <c r="I92" s="37" t="s">
        <v>226</v>
      </c>
      <c r="J92" s="37" t="s">
        <v>77</v>
      </c>
      <c r="K92" s="37" t="str">
        <f aca="false">TRIM(IF($B92="UNASSIGNED","NO COST CENTRE ","")&amp;IF(ISNA(MATCH($C92,Mapping!$B$7:$B$36,0)),"UNMAPPED ","")&amp;IF(COUNTIFS($C$4:$C92,$C92,$F$4:$F92,$F92,$H$4:$H92,$H92)&gt;1,"DUPLICATE ","")&amp;IF(AND(NOT(ISNA(MATCH($C92,Mapping!$B$7:$B$36,0))),$H92&lt;-'Control Panel'!$E$16),"CREDIT ","")&amp;IF(AND(NOT(ISNA(MATCH($C92,Mapping!$B$7:$B$36,0))),COUNTIFS(Budget!$B$4:$B$107,$B92,Budget!$C$4:$C$107,$D92)=0),"NO BUDGET ",""))</f>
        <v/>
      </c>
      <c r="L92" s="83" t="str">
        <f aca="false">IF($K92="","OK",$K92)</f>
        <v>OK</v>
      </c>
      <c r="M92" s="47" t="str">
        <f aca="false">IF(EXACT($L92,$I92),"ok","CHECK")</f>
        <v>ok</v>
      </c>
    </row>
    <row r="93" customFormat="false" ht="12" hidden="false" customHeight="true" outlineLevel="0" collapsed="false">
      <c r="B93" s="50" t="s">
        <v>146</v>
      </c>
      <c r="C93" s="50" t="s">
        <v>230</v>
      </c>
      <c r="D93" s="79" t="s">
        <v>115</v>
      </c>
      <c r="E93" s="80" t="n">
        <v>46178</v>
      </c>
      <c r="F93" s="50" t="s">
        <v>381</v>
      </c>
      <c r="G93" s="81" t="s">
        <v>252</v>
      </c>
      <c r="H93" s="82" t="n">
        <v>1599.81</v>
      </c>
      <c r="I93" s="37" t="s">
        <v>226</v>
      </c>
      <c r="J93" s="37" t="s">
        <v>77</v>
      </c>
      <c r="K93" s="37" t="str">
        <f aca="false">TRIM(IF($B93="UNASSIGNED","NO COST CENTRE ","")&amp;IF(ISNA(MATCH($C93,Mapping!$B$7:$B$36,0)),"UNMAPPED ","")&amp;IF(COUNTIFS($C$4:$C93,$C93,$F$4:$F93,$F93,$H$4:$H93,$H93)&gt;1,"DUPLICATE ","")&amp;IF(AND(NOT(ISNA(MATCH($C93,Mapping!$B$7:$B$36,0))),$H93&lt;-'Control Panel'!$E$16),"CREDIT ","")&amp;IF(AND(NOT(ISNA(MATCH($C93,Mapping!$B$7:$B$36,0))),COUNTIFS(Budget!$B$4:$B$107,$B93,Budget!$C$4:$C$107,$D93)=0),"NO BUDGET ",""))</f>
        <v/>
      </c>
      <c r="L93" s="83" t="str">
        <f aca="false">IF($K93="","OK",$K93)</f>
        <v>OK</v>
      </c>
      <c r="M93" s="47" t="str">
        <f aca="false">IF(EXACT($L93,$I93),"ok","CHECK")</f>
        <v>ok</v>
      </c>
    </row>
    <row r="94" customFormat="false" ht="12" hidden="false" customHeight="true" outlineLevel="0" collapsed="false">
      <c r="B94" s="50" t="s">
        <v>146</v>
      </c>
      <c r="C94" s="50" t="s">
        <v>259</v>
      </c>
      <c r="D94" s="79" t="s">
        <v>111</v>
      </c>
      <c r="E94" s="80" t="n">
        <v>46178</v>
      </c>
      <c r="F94" s="50" t="s">
        <v>382</v>
      </c>
      <c r="G94" s="81" t="s">
        <v>243</v>
      </c>
      <c r="H94" s="82" t="n">
        <v>3270.41</v>
      </c>
      <c r="I94" s="37" t="s">
        <v>226</v>
      </c>
      <c r="J94" s="37" t="s">
        <v>77</v>
      </c>
      <c r="K94" s="37" t="str">
        <f aca="false">TRIM(IF($B94="UNASSIGNED","NO COST CENTRE ","")&amp;IF(ISNA(MATCH($C94,Mapping!$B$7:$B$36,0)),"UNMAPPED ","")&amp;IF(COUNTIFS($C$4:$C94,$C94,$F$4:$F94,$F94,$H$4:$H94,$H94)&gt;1,"DUPLICATE ","")&amp;IF(AND(NOT(ISNA(MATCH($C94,Mapping!$B$7:$B$36,0))),$H94&lt;-'Control Panel'!$E$16),"CREDIT ","")&amp;IF(AND(NOT(ISNA(MATCH($C94,Mapping!$B$7:$B$36,0))),COUNTIFS(Budget!$B$4:$B$107,$B94,Budget!$C$4:$C$107,$D94)=0),"NO BUDGET ",""))</f>
        <v/>
      </c>
      <c r="L94" s="83" t="str">
        <f aca="false">IF($K94="","OK",$K94)</f>
        <v>OK</v>
      </c>
      <c r="M94" s="47" t="str">
        <f aca="false">IF(EXACT($L94,$I94),"ok","CHECK")</f>
        <v>ok</v>
      </c>
    </row>
    <row r="95" customFormat="false" ht="12" hidden="false" customHeight="true" outlineLevel="0" collapsed="false">
      <c r="B95" s="50" t="s">
        <v>146</v>
      </c>
      <c r="C95" s="50" t="s">
        <v>266</v>
      </c>
      <c r="D95" s="79" t="s">
        <v>109</v>
      </c>
      <c r="E95" s="80" t="n">
        <v>46178</v>
      </c>
      <c r="F95" s="50" t="s">
        <v>383</v>
      </c>
      <c r="G95" s="81" t="s">
        <v>384</v>
      </c>
      <c r="H95" s="82" t="n">
        <v>1806.18</v>
      </c>
      <c r="I95" s="37" t="s">
        <v>226</v>
      </c>
      <c r="J95" s="37" t="s">
        <v>77</v>
      </c>
      <c r="K95" s="37" t="str">
        <f aca="false">TRIM(IF($B95="UNASSIGNED","NO COST CENTRE ","")&amp;IF(ISNA(MATCH($C95,Mapping!$B$7:$B$36,0)),"UNMAPPED ","")&amp;IF(COUNTIFS($C$4:$C95,$C95,$F$4:$F95,$F95,$H$4:$H95,$H95)&gt;1,"DUPLICATE ","")&amp;IF(AND(NOT(ISNA(MATCH($C95,Mapping!$B$7:$B$36,0))),$H95&lt;-'Control Panel'!$E$16),"CREDIT ","")&amp;IF(AND(NOT(ISNA(MATCH($C95,Mapping!$B$7:$B$36,0))),COUNTIFS(Budget!$B$4:$B$107,$B95,Budget!$C$4:$C$107,$D95)=0),"NO BUDGET ",""))</f>
        <v/>
      </c>
      <c r="L95" s="83" t="str">
        <f aca="false">IF($K95="","OK",$K95)</f>
        <v>OK</v>
      </c>
      <c r="M95" s="47" t="str">
        <f aca="false">IF(EXACT($L95,$I95),"ok","CHECK")</f>
        <v>ok</v>
      </c>
    </row>
    <row r="96" customFormat="false" ht="12" hidden="false" customHeight="true" outlineLevel="0" collapsed="false">
      <c r="B96" s="50" t="s">
        <v>146</v>
      </c>
      <c r="C96" s="50" t="s">
        <v>337</v>
      </c>
      <c r="D96" s="79" t="s">
        <v>109</v>
      </c>
      <c r="E96" s="80" t="n">
        <v>46179</v>
      </c>
      <c r="F96" s="50" t="s">
        <v>385</v>
      </c>
      <c r="G96" s="81" t="s">
        <v>268</v>
      </c>
      <c r="H96" s="82" t="n">
        <v>862.12</v>
      </c>
      <c r="I96" s="37" t="s">
        <v>226</v>
      </c>
      <c r="J96" s="37" t="s">
        <v>77</v>
      </c>
      <c r="K96" s="37" t="str">
        <f aca="false">TRIM(IF($B96="UNASSIGNED","NO COST CENTRE ","")&amp;IF(ISNA(MATCH($C96,Mapping!$B$7:$B$36,0)),"UNMAPPED ","")&amp;IF(COUNTIFS($C$4:$C96,$C96,$F$4:$F96,$F96,$H$4:$H96,$H96)&gt;1,"DUPLICATE ","")&amp;IF(AND(NOT(ISNA(MATCH($C96,Mapping!$B$7:$B$36,0))),$H96&lt;-'Control Panel'!$E$16),"CREDIT ","")&amp;IF(AND(NOT(ISNA(MATCH($C96,Mapping!$B$7:$B$36,0))),COUNTIFS(Budget!$B$4:$B$107,$B96,Budget!$C$4:$C$107,$D96)=0),"NO BUDGET ",""))</f>
        <v/>
      </c>
      <c r="L96" s="83" t="str">
        <f aca="false">IF($K96="","OK",$K96)</f>
        <v>OK</v>
      </c>
      <c r="M96" s="47" t="str">
        <f aca="false">IF(EXACT($L96,$I96),"ok","CHECK")</f>
        <v>ok</v>
      </c>
    </row>
    <row r="97" customFormat="false" ht="12" hidden="false" customHeight="true" outlineLevel="0" collapsed="false">
      <c r="B97" s="50" t="s">
        <v>146</v>
      </c>
      <c r="C97" s="50" t="s">
        <v>223</v>
      </c>
      <c r="D97" s="79" t="s">
        <v>113</v>
      </c>
      <c r="E97" s="80" t="n">
        <v>46179</v>
      </c>
      <c r="F97" s="50" t="s">
        <v>386</v>
      </c>
      <c r="G97" s="81" t="s">
        <v>234</v>
      </c>
      <c r="H97" s="82" t="n">
        <v>3059.26</v>
      </c>
      <c r="I97" s="37" t="s">
        <v>226</v>
      </c>
      <c r="J97" s="37" t="s">
        <v>77</v>
      </c>
      <c r="K97" s="37" t="str">
        <f aca="false">TRIM(IF($B97="UNASSIGNED","NO COST CENTRE ","")&amp;IF(ISNA(MATCH($C97,Mapping!$B$7:$B$36,0)),"UNMAPPED ","")&amp;IF(COUNTIFS($C$4:$C97,$C97,$F$4:$F97,$F97,$H$4:$H97,$H97)&gt;1,"DUPLICATE ","")&amp;IF(AND(NOT(ISNA(MATCH($C97,Mapping!$B$7:$B$36,0))),$H97&lt;-'Control Panel'!$E$16),"CREDIT ","")&amp;IF(AND(NOT(ISNA(MATCH($C97,Mapping!$B$7:$B$36,0))),COUNTIFS(Budget!$B$4:$B$107,$B97,Budget!$C$4:$C$107,$D97)=0),"NO BUDGET ",""))</f>
        <v/>
      </c>
      <c r="L97" s="83" t="str">
        <f aca="false">IF($K97="","OK",$K97)</f>
        <v>OK</v>
      </c>
      <c r="M97" s="47" t="str">
        <f aca="false">IF(EXACT($L97,$I97),"ok","CHECK")</f>
        <v>ok</v>
      </c>
    </row>
    <row r="98" customFormat="false" ht="12" hidden="false" customHeight="true" outlineLevel="0" collapsed="false">
      <c r="B98" s="50" t="s">
        <v>146</v>
      </c>
      <c r="C98" s="50" t="s">
        <v>238</v>
      </c>
      <c r="D98" s="79" t="s">
        <v>110</v>
      </c>
      <c r="E98" s="80" t="n">
        <v>46179</v>
      </c>
      <c r="F98" s="50" t="s">
        <v>387</v>
      </c>
      <c r="G98" s="81" t="s">
        <v>249</v>
      </c>
      <c r="H98" s="82" t="n">
        <v>2750.45</v>
      </c>
      <c r="I98" s="37" t="s">
        <v>226</v>
      </c>
      <c r="J98" s="37" t="s">
        <v>77</v>
      </c>
      <c r="K98" s="37" t="str">
        <f aca="false">TRIM(IF($B98="UNASSIGNED","NO COST CENTRE ","")&amp;IF(ISNA(MATCH($C98,Mapping!$B$7:$B$36,0)),"UNMAPPED ","")&amp;IF(COUNTIFS($C$4:$C98,$C98,$F$4:$F98,$F98,$H$4:$H98,$H98)&gt;1,"DUPLICATE ","")&amp;IF(AND(NOT(ISNA(MATCH($C98,Mapping!$B$7:$B$36,0))),$H98&lt;-'Control Panel'!$E$16),"CREDIT ","")&amp;IF(AND(NOT(ISNA(MATCH($C98,Mapping!$B$7:$B$36,0))),COUNTIFS(Budget!$B$4:$B$107,$B98,Budget!$C$4:$C$107,$D98)=0),"NO BUDGET ",""))</f>
        <v/>
      </c>
      <c r="L98" s="83" t="str">
        <f aca="false">IF($K98="","OK",$K98)</f>
        <v>OK</v>
      </c>
      <c r="M98" s="47" t="str">
        <f aca="false">IF(EXACT($L98,$I98),"ok","CHECK")</f>
        <v>ok</v>
      </c>
    </row>
    <row r="99" customFormat="false" ht="12" hidden="false" customHeight="true" outlineLevel="0" collapsed="false">
      <c r="B99" s="50" t="s">
        <v>146</v>
      </c>
      <c r="C99" s="50" t="s">
        <v>219</v>
      </c>
      <c r="D99" s="79" t="s">
        <v>118</v>
      </c>
      <c r="E99" s="80" t="n">
        <v>46180</v>
      </c>
      <c r="F99" s="50" t="s">
        <v>388</v>
      </c>
      <c r="G99" s="81" t="s">
        <v>389</v>
      </c>
      <c r="H99" s="82" t="n">
        <v>804.38</v>
      </c>
      <c r="I99" s="37" t="s">
        <v>226</v>
      </c>
      <c r="J99" s="37" t="s">
        <v>77</v>
      </c>
      <c r="K99" s="37" t="str">
        <f aca="false">TRIM(IF($B99="UNASSIGNED","NO COST CENTRE ","")&amp;IF(ISNA(MATCH($C99,Mapping!$B$7:$B$36,0)),"UNMAPPED ","")&amp;IF(COUNTIFS($C$4:$C99,$C99,$F$4:$F99,$F99,$H$4:$H99,$H99)&gt;1,"DUPLICATE ","")&amp;IF(AND(NOT(ISNA(MATCH($C99,Mapping!$B$7:$B$36,0))),$H99&lt;-'Control Panel'!$E$16),"CREDIT ","")&amp;IF(AND(NOT(ISNA(MATCH($C99,Mapping!$B$7:$B$36,0))),COUNTIFS(Budget!$B$4:$B$107,$B99,Budget!$C$4:$C$107,$D99)=0),"NO BUDGET ",""))</f>
        <v/>
      </c>
      <c r="L99" s="83" t="str">
        <f aca="false">IF($K99="","OK",$K99)</f>
        <v>OK</v>
      </c>
      <c r="M99" s="47" t="str">
        <f aca="false">IF(EXACT($L99,$I99),"ok","CHECK")</f>
        <v>ok</v>
      </c>
    </row>
    <row r="100" customFormat="false" ht="12" hidden="false" customHeight="true" outlineLevel="0" collapsed="false">
      <c r="B100" s="50" t="s">
        <v>146</v>
      </c>
      <c r="C100" s="50" t="s">
        <v>241</v>
      </c>
      <c r="D100" s="79" t="s">
        <v>111</v>
      </c>
      <c r="E100" s="80" t="n">
        <v>46181</v>
      </c>
      <c r="F100" s="50" t="s">
        <v>390</v>
      </c>
      <c r="G100" s="81" t="s">
        <v>291</v>
      </c>
      <c r="H100" s="82" t="n">
        <v>2197.94</v>
      </c>
      <c r="I100" s="37" t="s">
        <v>226</v>
      </c>
      <c r="J100" s="37" t="s">
        <v>77</v>
      </c>
      <c r="K100" s="37" t="str">
        <f aca="false">TRIM(IF($B100="UNASSIGNED","NO COST CENTRE ","")&amp;IF(ISNA(MATCH($C100,Mapping!$B$7:$B$36,0)),"UNMAPPED ","")&amp;IF(COUNTIFS($C$4:$C100,$C100,$F$4:$F100,$F100,$H$4:$H100,$H100)&gt;1,"DUPLICATE ","")&amp;IF(AND(NOT(ISNA(MATCH($C100,Mapping!$B$7:$B$36,0))),$H100&lt;-'Control Panel'!$E$16),"CREDIT ","")&amp;IF(AND(NOT(ISNA(MATCH($C100,Mapping!$B$7:$B$36,0))),COUNTIFS(Budget!$B$4:$B$107,$B100,Budget!$C$4:$C$107,$D100)=0),"NO BUDGET ",""))</f>
        <v/>
      </c>
      <c r="L100" s="83" t="str">
        <f aca="false">IF($K100="","OK",$K100)</f>
        <v>OK</v>
      </c>
      <c r="M100" s="47" t="str">
        <f aca="false">IF(EXACT($L100,$I100),"ok","CHECK")</f>
        <v>ok</v>
      </c>
    </row>
    <row r="101" customFormat="false" ht="12" hidden="false" customHeight="true" outlineLevel="0" collapsed="false">
      <c r="B101" s="50" t="s">
        <v>146</v>
      </c>
      <c r="C101" s="50" t="s">
        <v>227</v>
      </c>
      <c r="D101" s="79" t="s">
        <v>112</v>
      </c>
      <c r="E101" s="80" t="n">
        <v>46181</v>
      </c>
      <c r="F101" s="50" t="s">
        <v>391</v>
      </c>
      <c r="G101" s="81" t="s">
        <v>392</v>
      </c>
      <c r="H101" s="82" t="n">
        <v>6649.93</v>
      </c>
      <c r="I101" s="37" t="s">
        <v>226</v>
      </c>
      <c r="J101" s="37" t="s">
        <v>77</v>
      </c>
      <c r="K101" s="37" t="str">
        <f aca="false">TRIM(IF($B101="UNASSIGNED","NO COST CENTRE ","")&amp;IF(ISNA(MATCH($C101,Mapping!$B$7:$B$36,0)),"UNMAPPED ","")&amp;IF(COUNTIFS($C$4:$C101,$C101,$F$4:$F101,$F101,$H$4:$H101,$H101)&gt;1,"DUPLICATE ","")&amp;IF(AND(NOT(ISNA(MATCH($C101,Mapping!$B$7:$B$36,0))),$H101&lt;-'Control Panel'!$E$16),"CREDIT ","")&amp;IF(AND(NOT(ISNA(MATCH($C101,Mapping!$B$7:$B$36,0))),COUNTIFS(Budget!$B$4:$B$107,$B101,Budget!$C$4:$C$107,$D101)=0),"NO BUDGET ",""))</f>
        <v/>
      </c>
      <c r="L101" s="83" t="str">
        <f aca="false">IF($K101="","OK",$K101)</f>
        <v>OK</v>
      </c>
      <c r="M101" s="47" t="str">
        <f aca="false">IF(EXACT($L101,$I101),"ok","CHECK")</f>
        <v>ok</v>
      </c>
    </row>
    <row r="102" customFormat="false" ht="12" hidden="false" customHeight="true" outlineLevel="0" collapsed="false">
      <c r="B102" s="50" t="s">
        <v>146</v>
      </c>
      <c r="C102" s="50" t="s">
        <v>230</v>
      </c>
      <c r="D102" s="79" t="s">
        <v>115</v>
      </c>
      <c r="E102" s="80" t="n">
        <v>46181</v>
      </c>
      <c r="F102" s="50" t="s">
        <v>393</v>
      </c>
      <c r="G102" s="81" t="s">
        <v>394</v>
      </c>
      <c r="H102" s="82" t="n">
        <v>1645.06</v>
      </c>
      <c r="I102" s="37" t="s">
        <v>226</v>
      </c>
      <c r="J102" s="37" t="s">
        <v>77</v>
      </c>
      <c r="K102" s="37" t="str">
        <f aca="false">TRIM(IF($B102="UNASSIGNED","NO COST CENTRE ","")&amp;IF(ISNA(MATCH($C102,Mapping!$B$7:$B$36,0)),"UNMAPPED ","")&amp;IF(COUNTIFS($C$4:$C102,$C102,$F$4:$F102,$F102,$H$4:$H102,$H102)&gt;1,"DUPLICATE ","")&amp;IF(AND(NOT(ISNA(MATCH($C102,Mapping!$B$7:$B$36,0))),$H102&lt;-'Control Panel'!$E$16),"CREDIT ","")&amp;IF(AND(NOT(ISNA(MATCH($C102,Mapping!$B$7:$B$36,0))),COUNTIFS(Budget!$B$4:$B$107,$B102,Budget!$C$4:$C$107,$D102)=0),"NO BUDGET ",""))</f>
        <v/>
      </c>
      <c r="L102" s="83" t="str">
        <f aca="false">IF($K102="","OK",$K102)</f>
        <v>OK</v>
      </c>
      <c r="M102" s="47" t="str">
        <f aca="false">IF(EXACT($L102,$I102),"ok","CHECK")</f>
        <v>ok</v>
      </c>
    </row>
    <row r="103" customFormat="false" ht="12" hidden="false" customHeight="true" outlineLevel="0" collapsed="false">
      <c r="B103" s="50" t="s">
        <v>146</v>
      </c>
      <c r="C103" s="50" t="s">
        <v>250</v>
      </c>
      <c r="D103" s="79" t="s">
        <v>115</v>
      </c>
      <c r="E103" s="80" t="n">
        <v>46182</v>
      </c>
      <c r="F103" s="50" t="s">
        <v>395</v>
      </c>
      <c r="G103" s="81" t="s">
        <v>307</v>
      </c>
      <c r="H103" s="82" t="n">
        <v>771.51</v>
      </c>
      <c r="I103" s="37" t="s">
        <v>226</v>
      </c>
      <c r="J103" s="37" t="s">
        <v>77</v>
      </c>
      <c r="K103" s="37" t="str">
        <f aca="false">TRIM(IF($B103="UNASSIGNED","NO COST CENTRE ","")&amp;IF(ISNA(MATCH($C103,Mapping!$B$7:$B$36,0)),"UNMAPPED ","")&amp;IF(COUNTIFS($C$4:$C103,$C103,$F$4:$F103,$F103,$H$4:$H103,$H103)&gt;1,"DUPLICATE ","")&amp;IF(AND(NOT(ISNA(MATCH($C103,Mapping!$B$7:$B$36,0))),$H103&lt;-'Control Panel'!$E$16),"CREDIT ","")&amp;IF(AND(NOT(ISNA(MATCH($C103,Mapping!$B$7:$B$36,0))),COUNTIFS(Budget!$B$4:$B$107,$B103,Budget!$C$4:$C$107,$D103)=0),"NO BUDGET ",""))</f>
        <v/>
      </c>
      <c r="L103" s="83" t="str">
        <f aca="false">IF($K103="","OK",$K103)</f>
        <v>OK</v>
      </c>
      <c r="M103" s="47" t="str">
        <f aca="false">IF(EXACT($L103,$I103),"ok","CHECK")</f>
        <v>ok</v>
      </c>
    </row>
    <row r="104" customFormat="false" ht="12" hidden="false" customHeight="true" outlineLevel="0" collapsed="false">
      <c r="B104" s="50" t="s">
        <v>146</v>
      </c>
      <c r="C104" s="50" t="s">
        <v>238</v>
      </c>
      <c r="D104" s="79" t="s">
        <v>110</v>
      </c>
      <c r="E104" s="80" t="n">
        <v>46182</v>
      </c>
      <c r="F104" s="50" t="s">
        <v>396</v>
      </c>
      <c r="G104" s="81" t="s">
        <v>240</v>
      </c>
      <c r="H104" s="82" t="n">
        <v>2477.98</v>
      </c>
      <c r="I104" s="37" t="s">
        <v>226</v>
      </c>
      <c r="J104" s="37" t="s">
        <v>77</v>
      </c>
      <c r="K104" s="37" t="str">
        <f aca="false">TRIM(IF($B104="UNASSIGNED","NO COST CENTRE ","")&amp;IF(ISNA(MATCH($C104,Mapping!$B$7:$B$36,0)),"UNMAPPED ","")&amp;IF(COUNTIFS($C$4:$C104,$C104,$F$4:$F104,$F104,$H$4:$H104,$H104)&gt;1,"DUPLICATE ","")&amp;IF(AND(NOT(ISNA(MATCH($C104,Mapping!$B$7:$B$36,0))),$H104&lt;-'Control Panel'!$E$16),"CREDIT ","")&amp;IF(AND(NOT(ISNA(MATCH($C104,Mapping!$B$7:$B$36,0))),COUNTIFS(Budget!$B$4:$B$107,$B104,Budget!$C$4:$C$107,$D104)=0),"NO BUDGET ",""))</f>
        <v/>
      </c>
      <c r="L104" s="83" t="str">
        <f aca="false">IF($K104="","OK",$K104)</f>
        <v>OK</v>
      </c>
      <c r="M104" s="47" t="str">
        <f aca="false">IF(EXACT($L104,$I104),"ok","CHECK")</f>
        <v>ok</v>
      </c>
    </row>
    <row r="105" customFormat="false" ht="12" hidden="false" customHeight="true" outlineLevel="0" collapsed="false">
      <c r="B105" s="50" t="s">
        <v>146</v>
      </c>
      <c r="C105" s="50" t="s">
        <v>250</v>
      </c>
      <c r="D105" s="79" t="s">
        <v>115</v>
      </c>
      <c r="E105" s="80" t="n">
        <v>46182</v>
      </c>
      <c r="F105" s="50" t="s">
        <v>397</v>
      </c>
      <c r="G105" s="81" t="s">
        <v>252</v>
      </c>
      <c r="H105" s="82" t="n">
        <v>1338.69</v>
      </c>
      <c r="I105" s="37" t="s">
        <v>226</v>
      </c>
      <c r="J105" s="37" t="s">
        <v>77</v>
      </c>
      <c r="K105" s="37" t="str">
        <f aca="false">TRIM(IF($B105="UNASSIGNED","NO COST CENTRE ","")&amp;IF(ISNA(MATCH($C105,Mapping!$B$7:$B$36,0)),"UNMAPPED ","")&amp;IF(COUNTIFS($C$4:$C105,$C105,$F$4:$F105,$F105,$H$4:$H105,$H105)&gt;1,"DUPLICATE ","")&amp;IF(AND(NOT(ISNA(MATCH($C105,Mapping!$B$7:$B$36,0))),$H105&lt;-'Control Panel'!$E$16),"CREDIT ","")&amp;IF(AND(NOT(ISNA(MATCH($C105,Mapping!$B$7:$B$36,0))),COUNTIFS(Budget!$B$4:$B$107,$B105,Budget!$C$4:$C$107,$D105)=0),"NO BUDGET ",""))</f>
        <v/>
      </c>
      <c r="L105" s="83" t="str">
        <f aca="false">IF($K105="","OK",$K105)</f>
        <v>OK</v>
      </c>
      <c r="M105" s="47" t="str">
        <f aca="false">IF(EXACT($L105,$I105),"ok","CHECK")</f>
        <v>ok</v>
      </c>
    </row>
    <row r="106" customFormat="false" ht="12" hidden="false" customHeight="true" outlineLevel="0" collapsed="false">
      <c r="B106" s="50" t="s">
        <v>146</v>
      </c>
      <c r="C106" s="50" t="s">
        <v>223</v>
      </c>
      <c r="D106" s="79" t="s">
        <v>113</v>
      </c>
      <c r="E106" s="80" t="n">
        <v>46182</v>
      </c>
      <c r="F106" s="50" t="s">
        <v>398</v>
      </c>
      <c r="G106" s="81" t="s">
        <v>399</v>
      </c>
      <c r="H106" s="82" t="n">
        <v>-2300</v>
      </c>
      <c r="I106" s="65" t="s">
        <v>346</v>
      </c>
      <c r="J106" s="37" t="s">
        <v>77</v>
      </c>
      <c r="K106" s="37" t="str">
        <f aca="false">TRIM(IF($B106="UNASSIGNED","NO COST CENTRE ","")&amp;IF(ISNA(MATCH($C106,Mapping!$B$7:$B$36,0)),"UNMAPPED ","")&amp;IF(COUNTIFS($C$4:$C106,$C106,$F$4:$F106,$F106,$H$4:$H106,$H106)&gt;1,"DUPLICATE ","")&amp;IF(AND(NOT(ISNA(MATCH($C106,Mapping!$B$7:$B$36,0))),$H106&lt;-'Control Panel'!$E$16),"CREDIT ","")&amp;IF(AND(NOT(ISNA(MATCH($C106,Mapping!$B$7:$B$36,0))),COUNTIFS(Budget!$B$4:$B$107,$B106,Budget!$C$4:$C$107,$D106)=0),"NO BUDGET ",""))</f>
        <v>CREDIT</v>
      </c>
      <c r="L106" s="83" t="str">
        <f aca="false">IF($K106="","OK",$K106)</f>
        <v>CREDIT</v>
      </c>
      <c r="M106" s="47" t="str">
        <f aca="false">IF(EXACT($L106,$I106),"ok","CHECK")</f>
        <v>ok</v>
      </c>
    </row>
    <row r="107" customFormat="false" ht="12" hidden="false" customHeight="true" outlineLevel="0" collapsed="false">
      <c r="B107" s="50" t="s">
        <v>146</v>
      </c>
      <c r="C107" s="50" t="s">
        <v>244</v>
      </c>
      <c r="D107" s="79" t="s">
        <v>111</v>
      </c>
      <c r="E107" s="80" t="n">
        <v>46183</v>
      </c>
      <c r="F107" s="50" t="s">
        <v>400</v>
      </c>
      <c r="G107" s="81" t="s">
        <v>246</v>
      </c>
      <c r="H107" s="82" t="n">
        <v>1864.16</v>
      </c>
      <c r="I107" s="37" t="s">
        <v>226</v>
      </c>
      <c r="J107" s="37" t="s">
        <v>77</v>
      </c>
      <c r="K107" s="37" t="str">
        <f aca="false">TRIM(IF($B107="UNASSIGNED","NO COST CENTRE ","")&amp;IF(ISNA(MATCH($C107,Mapping!$B$7:$B$36,0)),"UNMAPPED ","")&amp;IF(COUNTIFS($C$4:$C107,$C107,$F$4:$F107,$F107,$H$4:$H107,$H107)&gt;1,"DUPLICATE ","")&amp;IF(AND(NOT(ISNA(MATCH($C107,Mapping!$B$7:$B$36,0))),$H107&lt;-'Control Panel'!$E$16),"CREDIT ","")&amp;IF(AND(NOT(ISNA(MATCH($C107,Mapping!$B$7:$B$36,0))),COUNTIFS(Budget!$B$4:$B$107,$B107,Budget!$C$4:$C$107,$D107)=0),"NO BUDGET ",""))</f>
        <v/>
      </c>
      <c r="L107" s="83" t="str">
        <f aca="false">IF($K107="","OK",$K107)</f>
        <v>OK</v>
      </c>
      <c r="M107" s="47" t="str">
        <f aca="false">IF(EXACT($L107,$I107),"ok","CHECK")</f>
        <v>ok</v>
      </c>
    </row>
    <row r="108" customFormat="false" ht="12" hidden="false" customHeight="true" outlineLevel="0" collapsed="false">
      <c r="B108" s="50" t="s">
        <v>146</v>
      </c>
      <c r="C108" s="50" t="s">
        <v>241</v>
      </c>
      <c r="D108" s="79" t="s">
        <v>111</v>
      </c>
      <c r="E108" s="80" t="n">
        <v>46184</v>
      </c>
      <c r="F108" s="50" t="s">
        <v>401</v>
      </c>
      <c r="G108" s="81" t="s">
        <v>246</v>
      </c>
      <c r="H108" s="82" t="n">
        <v>2799.15</v>
      </c>
      <c r="I108" s="37" t="s">
        <v>226</v>
      </c>
      <c r="J108" s="37" t="s">
        <v>77</v>
      </c>
      <c r="K108" s="37" t="str">
        <f aca="false">TRIM(IF($B108="UNASSIGNED","NO COST CENTRE ","")&amp;IF(ISNA(MATCH($C108,Mapping!$B$7:$B$36,0)),"UNMAPPED ","")&amp;IF(COUNTIFS($C$4:$C108,$C108,$F$4:$F108,$F108,$H$4:$H108,$H108)&gt;1,"DUPLICATE ","")&amp;IF(AND(NOT(ISNA(MATCH($C108,Mapping!$B$7:$B$36,0))),$H108&lt;-'Control Panel'!$E$16),"CREDIT ","")&amp;IF(AND(NOT(ISNA(MATCH($C108,Mapping!$B$7:$B$36,0))),COUNTIFS(Budget!$B$4:$B$107,$B108,Budget!$C$4:$C$107,$D108)=0),"NO BUDGET ",""))</f>
        <v/>
      </c>
      <c r="L108" s="83" t="str">
        <f aca="false">IF($K108="","OK",$K108)</f>
        <v>OK</v>
      </c>
      <c r="M108" s="47" t="str">
        <f aca="false">IF(EXACT($L108,$I108),"ok","CHECK")</f>
        <v>ok</v>
      </c>
    </row>
    <row r="109" customFormat="false" ht="12" hidden="false" customHeight="true" outlineLevel="0" collapsed="false">
      <c r="B109" s="50" t="s">
        <v>146</v>
      </c>
      <c r="C109" s="50" t="s">
        <v>250</v>
      </c>
      <c r="D109" s="79" t="s">
        <v>115</v>
      </c>
      <c r="E109" s="80" t="n">
        <v>46184</v>
      </c>
      <c r="F109" s="50" t="s">
        <v>402</v>
      </c>
      <c r="G109" s="81" t="s">
        <v>403</v>
      </c>
      <c r="H109" s="82" t="n">
        <v>1674.22</v>
      </c>
      <c r="I109" s="37" t="s">
        <v>226</v>
      </c>
      <c r="J109" s="37" t="s">
        <v>77</v>
      </c>
      <c r="K109" s="37" t="str">
        <f aca="false">TRIM(IF($B109="UNASSIGNED","NO COST CENTRE ","")&amp;IF(ISNA(MATCH($C109,Mapping!$B$7:$B$36,0)),"UNMAPPED ","")&amp;IF(COUNTIFS($C$4:$C109,$C109,$F$4:$F109,$F109,$H$4:$H109,$H109)&gt;1,"DUPLICATE ","")&amp;IF(AND(NOT(ISNA(MATCH($C109,Mapping!$B$7:$B$36,0))),$H109&lt;-'Control Panel'!$E$16),"CREDIT ","")&amp;IF(AND(NOT(ISNA(MATCH($C109,Mapping!$B$7:$B$36,0))),COUNTIFS(Budget!$B$4:$B$107,$B109,Budget!$C$4:$C$107,$D109)=0),"NO BUDGET ",""))</f>
        <v/>
      </c>
      <c r="L109" s="83" t="str">
        <f aca="false">IF($K109="","OK",$K109)</f>
        <v>OK</v>
      </c>
      <c r="M109" s="47" t="str">
        <f aca="false">IF(EXACT($L109,$I109),"ok","CHECK")</f>
        <v>ok</v>
      </c>
    </row>
    <row r="110" customFormat="false" ht="12" hidden="false" customHeight="true" outlineLevel="0" collapsed="false">
      <c r="B110" s="50" t="s">
        <v>146</v>
      </c>
      <c r="C110" s="50" t="s">
        <v>223</v>
      </c>
      <c r="D110" s="79" t="s">
        <v>113</v>
      </c>
      <c r="E110" s="80" t="n">
        <v>46184</v>
      </c>
      <c r="F110" s="50" t="s">
        <v>404</v>
      </c>
      <c r="G110" s="81" t="s">
        <v>405</v>
      </c>
      <c r="H110" s="82" t="n">
        <v>2486.64</v>
      </c>
      <c r="I110" s="37" t="s">
        <v>226</v>
      </c>
      <c r="J110" s="37" t="s">
        <v>77</v>
      </c>
      <c r="K110" s="37" t="str">
        <f aca="false">TRIM(IF($B110="UNASSIGNED","NO COST CENTRE ","")&amp;IF(ISNA(MATCH($C110,Mapping!$B$7:$B$36,0)),"UNMAPPED ","")&amp;IF(COUNTIFS($C$4:$C110,$C110,$F$4:$F110,$F110,$H$4:$H110,$H110)&gt;1,"DUPLICATE ","")&amp;IF(AND(NOT(ISNA(MATCH($C110,Mapping!$B$7:$B$36,0))),$H110&lt;-'Control Panel'!$E$16),"CREDIT ","")&amp;IF(AND(NOT(ISNA(MATCH($C110,Mapping!$B$7:$B$36,0))),COUNTIFS(Budget!$B$4:$B$107,$B110,Budget!$C$4:$C$107,$D110)=0),"NO BUDGET ",""))</f>
        <v/>
      </c>
      <c r="L110" s="83" t="str">
        <f aca="false">IF($K110="","OK",$K110)</f>
        <v>OK</v>
      </c>
      <c r="M110" s="47" t="str">
        <f aca="false">IF(EXACT($L110,$I110),"ok","CHECK")</f>
        <v>ok</v>
      </c>
    </row>
    <row r="111" customFormat="false" ht="12" hidden="false" customHeight="true" outlineLevel="0" collapsed="false">
      <c r="B111" s="50" t="s">
        <v>146</v>
      </c>
      <c r="C111" s="50" t="s">
        <v>266</v>
      </c>
      <c r="D111" s="79" t="s">
        <v>109</v>
      </c>
      <c r="E111" s="80" t="n">
        <v>46185</v>
      </c>
      <c r="F111" s="50" t="s">
        <v>406</v>
      </c>
      <c r="G111" s="81" t="s">
        <v>407</v>
      </c>
      <c r="H111" s="82" t="n">
        <v>1447.92</v>
      </c>
      <c r="I111" s="37" t="s">
        <v>226</v>
      </c>
      <c r="J111" s="37" t="s">
        <v>77</v>
      </c>
      <c r="K111" s="37" t="str">
        <f aca="false">TRIM(IF($B111="UNASSIGNED","NO COST CENTRE ","")&amp;IF(ISNA(MATCH($C111,Mapping!$B$7:$B$36,0)),"UNMAPPED ","")&amp;IF(COUNTIFS($C$4:$C111,$C111,$F$4:$F111,$F111,$H$4:$H111,$H111)&gt;1,"DUPLICATE ","")&amp;IF(AND(NOT(ISNA(MATCH($C111,Mapping!$B$7:$B$36,0))),$H111&lt;-'Control Panel'!$E$16),"CREDIT ","")&amp;IF(AND(NOT(ISNA(MATCH($C111,Mapping!$B$7:$B$36,0))),COUNTIFS(Budget!$B$4:$B$107,$B111,Budget!$C$4:$C$107,$D111)=0),"NO BUDGET ",""))</f>
        <v/>
      </c>
      <c r="L111" s="83" t="str">
        <f aca="false">IF($K111="","OK",$K111)</f>
        <v>OK</v>
      </c>
      <c r="M111" s="47" t="str">
        <f aca="false">IF(EXACT($L111,$I111),"ok","CHECK")</f>
        <v>ok</v>
      </c>
    </row>
    <row r="112" customFormat="false" ht="12" hidden="false" customHeight="true" outlineLevel="0" collapsed="false">
      <c r="B112" s="50" t="s">
        <v>146</v>
      </c>
      <c r="C112" s="50" t="s">
        <v>227</v>
      </c>
      <c r="D112" s="79" t="s">
        <v>112</v>
      </c>
      <c r="E112" s="80" t="n">
        <v>46185</v>
      </c>
      <c r="F112" s="50" t="s">
        <v>408</v>
      </c>
      <c r="G112" s="81" t="s">
        <v>392</v>
      </c>
      <c r="H112" s="82" t="n">
        <v>13065.73</v>
      </c>
      <c r="I112" s="37" t="s">
        <v>226</v>
      </c>
      <c r="J112" s="37" t="s">
        <v>77</v>
      </c>
      <c r="K112" s="37" t="str">
        <f aca="false">TRIM(IF($B112="UNASSIGNED","NO COST CENTRE ","")&amp;IF(ISNA(MATCH($C112,Mapping!$B$7:$B$36,0)),"UNMAPPED ","")&amp;IF(COUNTIFS($C$4:$C112,$C112,$F$4:$F112,$F112,$H$4:$H112,$H112)&gt;1,"DUPLICATE ","")&amp;IF(AND(NOT(ISNA(MATCH($C112,Mapping!$B$7:$B$36,0))),$H112&lt;-'Control Panel'!$E$16),"CREDIT ","")&amp;IF(AND(NOT(ISNA(MATCH($C112,Mapping!$B$7:$B$36,0))),COUNTIFS(Budget!$B$4:$B$107,$B112,Budget!$C$4:$C$107,$D112)=0),"NO BUDGET ",""))</f>
        <v/>
      </c>
      <c r="L112" s="83" t="str">
        <f aca="false">IF($K112="","OK",$K112)</f>
        <v>OK</v>
      </c>
      <c r="M112" s="47" t="str">
        <f aca="false">IF(EXACT($L112,$I112),"ok","CHECK")</f>
        <v>ok</v>
      </c>
    </row>
    <row r="113" customFormat="false" ht="12" hidden="false" customHeight="true" outlineLevel="0" collapsed="false">
      <c r="B113" s="50" t="s">
        <v>146</v>
      </c>
      <c r="C113" s="50" t="s">
        <v>223</v>
      </c>
      <c r="D113" s="79" t="s">
        <v>113</v>
      </c>
      <c r="E113" s="80" t="n">
        <v>46185</v>
      </c>
      <c r="F113" s="50" t="s">
        <v>409</v>
      </c>
      <c r="G113" s="81" t="s">
        <v>410</v>
      </c>
      <c r="H113" s="82" t="n">
        <v>1956.35</v>
      </c>
      <c r="I113" s="37" t="s">
        <v>226</v>
      </c>
      <c r="J113" s="37" t="s">
        <v>77</v>
      </c>
      <c r="K113" s="37" t="str">
        <f aca="false">TRIM(IF($B113="UNASSIGNED","NO COST CENTRE ","")&amp;IF(ISNA(MATCH($C113,Mapping!$B$7:$B$36,0)),"UNMAPPED ","")&amp;IF(COUNTIFS($C$4:$C113,$C113,$F$4:$F113,$F113,$H$4:$H113,$H113)&gt;1,"DUPLICATE ","")&amp;IF(AND(NOT(ISNA(MATCH($C113,Mapping!$B$7:$B$36,0))),$H113&lt;-'Control Panel'!$E$16),"CREDIT ","")&amp;IF(AND(NOT(ISNA(MATCH($C113,Mapping!$B$7:$B$36,0))),COUNTIFS(Budget!$B$4:$B$107,$B113,Budget!$C$4:$C$107,$D113)=0),"NO BUDGET ",""))</f>
        <v/>
      </c>
      <c r="L113" s="83" t="str">
        <f aca="false">IF($K113="","OK",$K113)</f>
        <v>OK</v>
      </c>
      <c r="M113" s="47" t="str">
        <f aca="false">IF(EXACT($L113,$I113),"ok","CHECK")</f>
        <v>ok</v>
      </c>
    </row>
    <row r="114" customFormat="false" ht="12" hidden="false" customHeight="true" outlineLevel="0" collapsed="false">
      <c r="B114" s="50" t="s">
        <v>146</v>
      </c>
      <c r="C114" s="50" t="s">
        <v>337</v>
      </c>
      <c r="D114" s="79" t="s">
        <v>109</v>
      </c>
      <c r="E114" s="80" t="n">
        <v>46185</v>
      </c>
      <c r="F114" s="50" t="s">
        <v>411</v>
      </c>
      <c r="G114" s="81" t="s">
        <v>334</v>
      </c>
      <c r="H114" s="82" t="n">
        <v>1802.24</v>
      </c>
      <c r="I114" s="37" t="s">
        <v>226</v>
      </c>
      <c r="J114" s="37" t="s">
        <v>77</v>
      </c>
      <c r="K114" s="37" t="str">
        <f aca="false">TRIM(IF($B114="UNASSIGNED","NO COST CENTRE ","")&amp;IF(ISNA(MATCH($C114,Mapping!$B$7:$B$36,0)),"UNMAPPED ","")&amp;IF(COUNTIFS($C$4:$C114,$C114,$F$4:$F114,$F114,$H$4:$H114,$H114)&gt;1,"DUPLICATE ","")&amp;IF(AND(NOT(ISNA(MATCH($C114,Mapping!$B$7:$B$36,0))),$H114&lt;-'Control Panel'!$E$16),"CREDIT ","")&amp;IF(AND(NOT(ISNA(MATCH($C114,Mapping!$B$7:$B$36,0))),COUNTIFS(Budget!$B$4:$B$107,$B114,Budget!$C$4:$C$107,$D114)=0),"NO BUDGET ",""))</f>
        <v/>
      </c>
      <c r="L114" s="83" t="str">
        <f aca="false">IF($K114="","OK",$K114)</f>
        <v>OK</v>
      </c>
      <c r="M114" s="47" t="str">
        <f aca="false">IF(EXACT($L114,$I114),"ok","CHECK")</f>
        <v>ok</v>
      </c>
    </row>
    <row r="115" customFormat="false" ht="12" hidden="false" customHeight="true" outlineLevel="0" collapsed="false">
      <c r="B115" s="50" t="s">
        <v>146</v>
      </c>
      <c r="C115" s="50" t="s">
        <v>223</v>
      </c>
      <c r="D115" s="79" t="s">
        <v>113</v>
      </c>
      <c r="E115" s="80" t="n">
        <v>46185</v>
      </c>
      <c r="F115" s="50" t="s">
        <v>412</v>
      </c>
      <c r="G115" s="81" t="s">
        <v>295</v>
      </c>
      <c r="H115" s="82" t="n">
        <v>2733.23</v>
      </c>
      <c r="I115" s="37" t="s">
        <v>226</v>
      </c>
      <c r="J115" s="37" t="s">
        <v>77</v>
      </c>
      <c r="K115" s="37" t="str">
        <f aca="false">TRIM(IF($B115="UNASSIGNED","NO COST CENTRE ","")&amp;IF(ISNA(MATCH($C115,Mapping!$B$7:$B$36,0)),"UNMAPPED ","")&amp;IF(COUNTIFS($C$4:$C115,$C115,$F$4:$F115,$F115,$H$4:$H115,$H115)&gt;1,"DUPLICATE ","")&amp;IF(AND(NOT(ISNA(MATCH($C115,Mapping!$B$7:$B$36,0))),$H115&lt;-'Control Panel'!$E$16),"CREDIT ","")&amp;IF(AND(NOT(ISNA(MATCH($C115,Mapping!$B$7:$B$36,0))),COUNTIFS(Budget!$B$4:$B$107,$B115,Budget!$C$4:$C$107,$D115)=0),"NO BUDGET ",""))</f>
        <v/>
      </c>
      <c r="L115" s="83" t="str">
        <f aca="false">IF($K115="","OK",$K115)</f>
        <v>OK</v>
      </c>
      <c r="M115" s="47" t="str">
        <f aca="false">IF(EXACT($L115,$I115),"ok","CHECK")</f>
        <v>ok</v>
      </c>
    </row>
    <row r="116" customFormat="false" ht="12" hidden="false" customHeight="true" outlineLevel="0" collapsed="false">
      <c r="B116" s="50" t="s">
        <v>146</v>
      </c>
      <c r="C116" s="50" t="s">
        <v>223</v>
      </c>
      <c r="D116" s="79" t="s">
        <v>113</v>
      </c>
      <c r="E116" s="80" t="n">
        <v>46186</v>
      </c>
      <c r="F116" s="50" t="s">
        <v>413</v>
      </c>
      <c r="G116" s="81" t="s">
        <v>414</v>
      </c>
      <c r="H116" s="82" t="n">
        <v>2734.53</v>
      </c>
      <c r="I116" s="37" t="s">
        <v>226</v>
      </c>
      <c r="J116" s="37" t="s">
        <v>77</v>
      </c>
      <c r="K116" s="37" t="str">
        <f aca="false">TRIM(IF($B116="UNASSIGNED","NO COST CENTRE ","")&amp;IF(ISNA(MATCH($C116,Mapping!$B$7:$B$36,0)),"UNMAPPED ","")&amp;IF(COUNTIFS($C$4:$C116,$C116,$F$4:$F116,$F116,$H$4:$H116,$H116)&gt;1,"DUPLICATE ","")&amp;IF(AND(NOT(ISNA(MATCH($C116,Mapping!$B$7:$B$36,0))),$H116&lt;-'Control Panel'!$E$16),"CREDIT ","")&amp;IF(AND(NOT(ISNA(MATCH($C116,Mapping!$B$7:$B$36,0))),COUNTIFS(Budget!$B$4:$B$107,$B116,Budget!$C$4:$C$107,$D116)=0),"NO BUDGET ",""))</f>
        <v/>
      </c>
      <c r="L116" s="83" t="str">
        <f aca="false">IF($K116="","OK",$K116)</f>
        <v>OK</v>
      </c>
      <c r="M116" s="47" t="str">
        <f aca="false">IF(EXACT($L116,$I116),"ok","CHECK")</f>
        <v>ok</v>
      </c>
    </row>
    <row r="117" customFormat="false" ht="12" hidden="false" customHeight="true" outlineLevel="0" collapsed="false">
      <c r="B117" s="50" t="s">
        <v>146</v>
      </c>
      <c r="C117" s="50" t="s">
        <v>223</v>
      </c>
      <c r="D117" s="79" t="s">
        <v>113</v>
      </c>
      <c r="E117" s="80" t="n">
        <v>46186</v>
      </c>
      <c r="F117" s="50" t="s">
        <v>415</v>
      </c>
      <c r="G117" s="81" t="s">
        <v>375</v>
      </c>
      <c r="H117" s="82" t="n">
        <v>3684.93</v>
      </c>
      <c r="I117" s="37" t="s">
        <v>226</v>
      </c>
      <c r="J117" s="37" t="s">
        <v>77</v>
      </c>
      <c r="K117" s="37" t="str">
        <f aca="false">TRIM(IF($B117="UNASSIGNED","NO COST CENTRE ","")&amp;IF(ISNA(MATCH($C117,Mapping!$B$7:$B$36,0)),"UNMAPPED ","")&amp;IF(COUNTIFS($C$4:$C117,$C117,$F$4:$F117,$F117,$H$4:$H117,$H117)&gt;1,"DUPLICATE ","")&amp;IF(AND(NOT(ISNA(MATCH($C117,Mapping!$B$7:$B$36,0))),$H117&lt;-'Control Panel'!$E$16),"CREDIT ","")&amp;IF(AND(NOT(ISNA(MATCH($C117,Mapping!$B$7:$B$36,0))),COUNTIFS(Budget!$B$4:$B$107,$B117,Budget!$C$4:$C$107,$D117)=0),"NO BUDGET ",""))</f>
        <v/>
      </c>
      <c r="L117" s="83" t="str">
        <f aca="false">IF($K117="","OK",$K117)</f>
        <v>OK</v>
      </c>
      <c r="M117" s="47" t="str">
        <f aca="false">IF(EXACT($L117,$I117),"ok","CHECK")</f>
        <v>ok</v>
      </c>
    </row>
    <row r="118" customFormat="false" ht="12" hidden="false" customHeight="true" outlineLevel="0" collapsed="false">
      <c r="B118" s="50" t="s">
        <v>146</v>
      </c>
      <c r="C118" s="50" t="s">
        <v>241</v>
      </c>
      <c r="D118" s="79" t="s">
        <v>111</v>
      </c>
      <c r="E118" s="80" t="n">
        <v>46186</v>
      </c>
      <c r="F118" s="50" t="s">
        <v>416</v>
      </c>
      <c r="G118" s="81" t="s">
        <v>291</v>
      </c>
      <c r="H118" s="82" t="n">
        <v>2724.8</v>
      </c>
      <c r="I118" s="37" t="s">
        <v>226</v>
      </c>
      <c r="J118" s="37" t="s">
        <v>77</v>
      </c>
      <c r="K118" s="37" t="str">
        <f aca="false">TRIM(IF($B118="UNASSIGNED","NO COST CENTRE ","")&amp;IF(ISNA(MATCH($C118,Mapping!$B$7:$B$36,0)),"UNMAPPED ","")&amp;IF(COUNTIFS($C$4:$C118,$C118,$F$4:$F118,$F118,$H$4:$H118,$H118)&gt;1,"DUPLICATE ","")&amp;IF(AND(NOT(ISNA(MATCH($C118,Mapping!$B$7:$B$36,0))),$H118&lt;-'Control Panel'!$E$16),"CREDIT ","")&amp;IF(AND(NOT(ISNA(MATCH($C118,Mapping!$B$7:$B$36,0))),COUNTIFS(Budget!$B$4:$B$107,$B118,Budget!$C$4:$C$107,$D118)=0),"NO BUDGET ",""))</f>
        <v/>
      </c>
      <c r="L118" s="83" t="str">
        <f aca="false">IF($K118="","OK",$K118)</f>
        <v>OK</v>
      </c>
      <c r="M118" s="47" t="str">
        <f aca="false">IF(EXACT($L118,$I118),"ok","CHECK")</f>
        <v>ok</v>
      </c>
    </row>
    <row r="119" customFormat="false" ht="12" hidden="false" customHeight="true" outlineLevel="0" collapsed="false">
      <c r="B119" s="50" t="s">
        <v>146</v>
      </c>
      <c r="C119" s="50" t="s">
        <v>241</v>
      </c>
      <c r="D119" s="79" t="s">
        <v>111</v>
      </c>
      <c r="E119" s="80" t="n">
        <v>46186</v>
      </c>
      <c r="F119" s="50" t="s">
        <v>417</v>
      </c>
      <c r="G119" s="81" t="s">
        <v>318</v>
      </c>
      <c r="H119" s="82" t="n">
        <v>3669.09</v>
      </c>
      <c r="I119" s="37" t="s">
        <v>226</v>
      </c>
      <c r="J119" s="37" t="s">
        <v>77</v>
      </c>
      <c r="K119" s="37" t="str">
        <f aca="false">TRIM(IF($B119="UNASSIGNED","NO COST CENTRE ","")&amp;IF(ISNA(MATCH($C119,Mapping!$B$7:$B$36,0)),"UNMAPPED ","")&amp;IF(COUNTIFS($C$4:$C119,$C119,$F$4:$F119,$F119,$H$4:$H119,$H119)&gt;1,"DUPLICATE ","")&amp;IF(AND(NOT(ISNA(MATCH($C119,Mapping!$B$7:$B$36,0))),$H119&lt;-'Control Panel'!$E$16),"CREDIT ","")&amp;IF(AND(NOT(ISNA(MATCH($C119,Mapping!$B$7:$B$36,0))),COUNTIFS(Budget!$B$4:$B$107,$B119,Budget!$C$4:$C$107,$D119)=0),"NO BUDGET ",""))</f>
        <v/>
      </c>
      <c r="L119" s="83" t="str">
        <f aca="false">IF($K119="","OK",$K119)</f>
        <v>OK</v>
      </c>
      <c r="M119" s="47" t="str">
        <f aca="false">IF(EXACT($L119,$I119),"ok","CHECK")</f>
        <v>ok</v>
      </c>
    </row>
    <row r="120" customFormat="false" ht="12" hidden="false" customHeight="true" outlineLevel="0" collapsed="false">
      <c r="B120" s="50" t="s">
        <v>146</v>
      </c>
      <c r="C120" s="50" t="s">
        <v>289</v>
      </c>
      <c r="D120" s="79" t="s">
        <v>111</v>
      </c>
      <c r="E120" s="80" t="n">
        <v>46187</v>
      </c>
      <c r="F120" s="50" t="s">
        <v>418</v>
      </c>
      <c r="G120" s="81" t="s">
        <v>261</v>
      </c>
      <c r="H120" s="82" t="n">
        <v>3721.55</v>
      </c>
      <c r="I120" s="37" t="s">
        <v>226</v>
      </c>
      <c r="J120" s="37" t="s">
        <v>77</v>
      </c>
      <c r="K120" s="37" t="str">
        <f aca="false">TRIM(IF($B120="UNASSIGNED","NO COST CENTRE ","")&amp;IF(ISNA(MATCH($C120,Mapping!$B$7:$B$36,0)),"UNMAPPED ","")&amp;IF(COUNTIFS($C$4:$C120,$C120,$F$4:$F120,$F120,$H$4:$H120,$H120)&gt;1,"DUPLICATE ","")&amp;IF(AND(NOT(ISNA(MATCH($C120,Mapping!$B$7:$B$36,0))),$H120&lt;-'Control Panel'!$E$16),"CREDIT ","")&amp;IF(AND(NOT(ISNA(MATCH($C120,Mapping!$B$7:$B$36,0))),COUNTIFS(Budget!$B$4:$B$107,$B120,Budget!$C$4:$C$107,$D120)=0),"NO BUDGET ",""))</f>
        <v/>
      </c>
      <c r="L120" s="83" t="str">
        <f aca="false">IF($K120="","OK",$K120)</f>
        <v>OK</v>
      </c>
      <c r="M120" s="47" t="str">
        <f aca="false">IF(EXACT($L120,$I120),"ok","CHECK")</f>
        <v>ok</v>
      </c>
    </row>
    <row r="121" customFormat="false" ht="12" hidden="false" customHeight="true" outlineLevel="0" collapsed="false">
      <c r="B121" s="50" t="s">
        <v>146</v>
      </c>
      <c r="C121" s="50" t="s">
        <v>241</v>
      </c>
      <c r="D121" s="79" t="s">
        <v>111</v>
      </c>
      <c r="E121" s="80" t="n">
        <v>46187</v>
      </c>
      <c r="F121" s="50" t="s">
        <v>419</v>
      </c>
      <c r="G121" s="81" t="s">
        <v>288</v>
      </c>
      <c r="H121" s="82" t="n">
        <v>1759.83</v>
      </c>
      <c r="I121" s="37" t="s">
        <v>226</v>
      </c>
      <c r="J121" s="37" t="s">
        <v>77</v>
      </c>
      <c r="K121" s="37" t="str">
        <f aca="false">TRIM(IF($B121="UNASSIGNED","NO COST CENTRE ","")&amp;IF(ISNA(MATCH($C121,Mapping!$B$7:$B$36,0)),"UNMAPPED ","")&amp;IF(COUNTIFS($C$4:$C121,$C121,$F$4:$F121,$F121,$H$4:$H121,$H121)&gt;1,"DUPLICATE ","")&amp;IF(AND(NOT(ISNA(MATCH($C121,Mapping!$B$7:$B$36,0))),$H121&lt;-'Control Panel'!$E$16),"CREDIT ","")&amp;IF(AND(NOT(ISNA(MATCH($C121,Mapping!$B$7:$B$36,0))),COUNTIFS(Budget!$B$4:$B$107,$B121,Budget!$C$4:$C$107,$D121)=0),"NO BUDGET ",""))</f>
        <v/>
      </c>
      <c r="L121" s="83" t="str">
        <f aca="false">IF($K121="","OK",$K121)</f>
        <v>OK</v>
      </c>
      <c r="M121" s="47" t="str">
        <f aca="false">IF(EXACT($L121,$I121),"ok","CHECK")</f>
        <v>ok</v>
      </c>
    </row>
    <row r="122" customFormat="false" ht="12" hidden="false" customHeight="true" outlineLevel="0" collapsed="false">
      <c r="B122" s="50" t="s">
        <v>146</v>
      </c>
      <c r="C122" s="50" t="s">
        <v>247</v>
      </c>
      <c r="D122" s="79" t="s">
        <v>110</v>
      </c>
      <c r="E122" s="80" t="n">
        <v>46187</v>
      </c>
      <c r="F122" s="50" t="s">
        <v>420</v>
      </c>
      <c r="G122" s="81" t="s">
        <v>356</v>
      </c>
      <c r="H122" s="82" t="n">
        <v>1909.39</v>
      </c>
      <c r="I122" s="37" t="s">
        <v>226</v>
      </c>
      <c r="J122" s="37" t="s">
        <v>77</v>
      </c>
      <c r="K122" s="37" t="str">
        <f aca="false">TRIM(IF($B122="UNASSIGNED","NO COST CENTRE ","")&amp;IF(ISNA(MATCH($C122,Mapping!$B$7:$B$36,0)),"UNMAPPED ","")&amp;IF(COUNTIFS($C$4:$C122,$C122,$F$4:$F122,$F122,$H$4:$H122,$H122)&gt;1,"DUPLICATE ","")&amp;IF(AND(NOT(ISNA(MATCH($C122,Mapping!$B$7:$B$36,0))),$H122&lt;-'Control Panel'!$E$16),"CREDIT ","")&amp;IF(AND(NOT(ISNA(MATCH($C122,Mapping!$B$7:$B$36,0))),COUNTIFS(Budget!$B$4:$B$107,$B122,Budget!$C$4:$C$107,$D122)=0),"NO BUDGET ",""))</f>
        <v/>
      </c>
      <c r="L122" s="83" t="str">
        <f aca="false">IF($K122="","OK",$K122)</f>
        <v>OK</v>
      </c>
      <c r="M122" s="47" t="str">
        <f aca="false">IF(EXACT($L122,$I122),"ok","CHECK")</f>
        <v>ok</v>
      </c>
    </row>
    <row r="123" customFormat="false" ht="12" hidden="false" customHeight="true" outlineLevel="0" collapsed="false">
      <c r="B123" s="50" t="s">
        <v>146</v>
      </c>
      <c r="C123" s="50" t="s">
        <v>259</v>
      </c>
      <c r="D123" s="79" t="s">
        <v>111</v>
      </c>
      <c r="E123" s="80" t="n">
        <v>46188</v>
      </c>
      <c r="F123" s="50" t="s">
        <v>421</v>
      </c>
      <c r="G123" s="81" t="s">
        <v>288</v>
      </c>
      <c r="H123" s="82" t="n">
        <v>1522.64</v>
      </c>
      <c r="I123" s="37" t="s">
        <v>226</v>
      </c>
      <c r="J123" s="37" t="s">
        <v>77</v>
      </c>
      <c r="K123" s="37" t="str">
        <f aca="false">TRIM(IF($B123="UNASSIGNED","NO COST CENTRE ","")&amp;IF(ISNA(MATCH($C123,Mapping!$B$7:$B$36,0)),"UNMAPPED ","")&amp;IF(COUNTIFS($C$4:$C123,$C123,$F$4:$F123,$F123,$H$4:$H123,$H123)&gt;1,"DUPLICATE ","")&amp;IF(AND(NOT(ISNA(MATCH($C123,Mapping!$B$7:$B$36,0))),$H123&lt;-'Control Panel'!$E$16),"CREDIT ","")&amp;IF(AND(NOT(ISNA(MATCH($C123,Mapping!$B$7:$B$36,0))),COUNTIFS(Budget!$B$4:$B$107,$B123,Budget!$C$4:$C$107,$D123)=0),"NO BUDGET ",""))</f>
        <v/>
      </c>
      <c r="L123" s="83" t="str">
        <f aca="false">IF($K123="","OK",$K123)</f>
        <v>OK</v>
      </c>
      <c r="M123" s="47" t="str">
        <f aca="false">IF(EXACT($L123,$I123),"ok","CHECK")</f>
        <v>ok</v>
      </c>
    </row>
    <row r="124" customFormat="false" ht="12" hidden="false" customHeight="true" outlineLevel="0" collapsed="false">
      <c r="B124" s="50" t="s">
        <v>146</v>
      </c>
      <c r="C124" s="50" t="s">
        <v>238</v>
      </c>
      <c r="D124" s="79" t="s">
        <v>110</v>
      </c>
      <c r="E124" s="80" t="n">
        <v>46188</v>
      </c>
      <c r="F124" s="50" t="s">
        <v>422</v>
      </c>
      <c r="G124" s="81" t="s">
        <v>249</v>
      </c>
      <c r="H124" s="82" t="n">
        <v>2282.58</v>
      </c>
      <c r="I124" s="37" t="s">
        <v>226</v>
      </c>
      <c r="J124" s="37" t="s">
        <v>77</v>
      </c>
      <c r="K124" s="37" t="str">
        <f aca="false">TRIM(IF($B124="UNASSIGNED","NO COST CENTRE ","")&amp;IF(ISNA(MATCH($C124,Mapping!$B$7:$B$36,0)),"UNMAPPED ","")&amp;IF(COUNTIFS($C$4:$C124,$C124,$F$4:$F124,$F124,$H$4:$H124,$H124)&gt;1,"DUPLICATE ","")&amp;IF(AND(NOT(ISNA(MATCH($C124,Mapping!$B$7:$B$36,0))),$H124&lt;-'Control Panel'!$E$16),"CREDIT ","")&amp;IF(AND(NOT(ISNA(MATCH($C124,Mapping!$B$7:$B$36,0))),COUNTIFS(Budget!$B$4:$B$107,$B124,Budget!$C$4:$C$107,$D124)=0),"NO BUDGET ",""))</f>
        <v/>
      </c>
      <c r="L124" s="83" t="str">
        <f aca="false">IF($K124="","OK",$K124)</f>
        <v>OK</v>
      </c>
      <c r="M124" s="47" t="str">
        <f aca="false">IF(EXACT($L124,$I124),"ok","CHECK")</f>
        <v>ok</v>
      </c>
    </row>
    <row r="125" customFormat="false" ht="12" hidden="false" customHeight="true" outlineLevel="0" collapsed="false">
      <c r="B125" s="50" t="s">
        <v>146</v>
      </c>
      <c r="C125" s="50" t="s">
        <v>337</v>
      </c>
      <c r="D125" s="79" t="s">
        <v>109</v>
      </c>
      <c r="E125" s="80" t="n">
        <v>46188</v>
      </c>
      <c r="F125" s="50" t="s">
        <v>423</v>
      </c>
      <c r="G125" s="81" t="s">
        <v>272</v>
      </c>
      <c r="H125" s="82" t="n">
        <v>1063.88</v>
      </c>
      <c r="I125" s="37" t="s">
        <v>226</v>
      </c>
      <c r="J125" s="37" t="s">
        <v>77</v>
      </c>
      <c r="K125" s="37" t="str">
        <f aca="false">TRIM(IF($B125="UNASSIGNED","NO COST CENTRE ","")&amp;IF(ISNA(MATCH($C125,Mapping!$B$7:$B$36,0)),"UNMAPPED ","")&amp;IF(COUNTIFS($C$4:$C125,$C125,$F$4:$F125,$F125,$H$4:$H125,$H125)&gt;1,"DUPLICATE ","")&amp;IF(AND(NOT(ISNA(MATCH($C125,Mapping!$B$7:$B$36,0))),$H125&lt;-'Control Panel'!$E$16),"CREDIT ","")&amp;IF(AND(NOT(ISNA(MATCH($C125,Mapping!$B$7:$B$36,0))),COUNTIFS(Budget!$B$4:$B$107,$B125,Budget!$C$4:$C$107,$D125)=0),"NO BUDGET ",""))</f>
        <v/>
      </c>
      <c r="L125" s="83" t="str">
        <f aca="false">IF($K125="","OK",$K125)</f>
        <v>OK</v>
      </c>
      <c r="M125" s="47" t="str">
        <f aca="false">IF(EXACT($L125,$I125),"ok","CHECK")</f>
        <v>ok</v>
      </c>
    </row>
    <row r="126" customFormat="false" ht="12" hidden="false" customHeight="true" outlineLevel="0" collapsed="false">
      <c r="B126" s="50" t="s">
        <v>146</v>
      </c>
      <c r="C126" s="50" t="s">
        <v>223</v>
      </c>
      <c r="D126" s="79" t="s">
        <v>113</v>
      </c>
      <c r="E126" s="80" t="n">
        <v>46189</v>
      </c>
      <c r="F126" s="50" t="s">
        <v>424</v>
      </c>
      <c r="G126" s="81" t="s">
        <v>322</v>
      </c>
      <c r="H126" s="82" t="n">
        <v>2138.87</v>
      </c>
      <c r="I126" s="37" t="s">
        <v>226</v>
      </c>
      <c r="J126" s="37" t="s">
        <v>77</v>
      </c>
      <c r="K126" s="37" t="str">
        <f aca="false">TRIM(IF($B126="UNASSIGNED","NO COST CENTRE ","")&amp;IF(ISNA(MATCH($C126,Mapping!$B$7:$B$36,0)),"UNMAPPED ","")&amp;IF(COUNTIFS($C$4:$C126,$C126,$F$4:$F126,$F126,$H$4:$H126,$H126)&gt;1,"DUPLICATE ","")&amp;IF(AND(NOT(ISNA(MATCH($C126,Mapping!$B$7:$B$36,0))),$H126&lt;-'Control Panel'!$E$16),"CREDIT ","")&amp;IF(AND(NOT(ISNA(MATCH($C126,Mapping!$B$7:$B$36,0))),COUNTIFS(Budget!$B$4:$B$107,$B126,Budget!$C$4:$C$107,$D126)=0),"NO BUDGET ",""))</f>
        <v/>
      </c>
      <c r="L126" s="83" t="str">
        <f aca="false">IF($K126="","OK",$K126)</f>
        <v>OK</v>
      </c>
      <c r="M126" s="47" t="str">
        <f aca="false">IF(EXACT($L126,$I126),"ok","CHECK")</f>
        <v>ok</v>
      </c>
    </row>
    <row r="127" customFormat="false" ht="12" hidden="false" customHeight="true" outlineLevel="0" collapsed="false">
      <c r="B127" s="50" t="s">
        <v>146</v>
      </c>
      <c r="C127" s="50" t="s">
        <v>238</v>
      </c>
      <c r="D127" s="79" t="s">
        <v>110</v>
      </c>
      <c r="E127" s="80" t="n">
        <v>46190</v>
      </c>
      <c r="F127" s="50" t="s">
        <v>425</v>
      </c>
      <c r="G127" s="81" t="s">
        <v>240</v>
      </c>
      <c r="H127" s="82" t="n">
        <v>2595.2</v>
      </c>
      <c r="I127" s="37" t="s">
        <v>226</v>
      </c>
      <c r="J127" s="37" t="s">
        <v>77</v>
      </c>
      <c r="K127" s="37" t="str">
        <f aca="false">TRIM(IF($B127="UNASSIGNED","NO COST CENTRE ","")&amp;IF(ISNA(MATCH($C127,Mapping!$B$7:$B$36,0)),"UNMAPPED ","")&amp;IF(COUNTIFS($C$4:$C127,$C127,$F$4:$F127,$F127,$H$4:$H127,$H127)&gt;1,"DUPLICATE ","")&amp;IF(AND(NOT(ISNA(MATCH($C127,Mapping!$B$7:$B$36,0))),$H127&lt;-'Control Panel'!$E$16),"CREDIT ","")&amp;IF(AND(NOT(ISNA(MATCH($C127,Mapping!$B$7:$B$36,0))),COUNTIFS(Budget!$B$4:$B$107,$B127,Budget!$C$4:$C$107,$D127)=0),"NO BUDGET ",""))</f>
        <v/>
      </c>
      <c r="L127" s="83" t="str">
        <f aca="false">IF($K127="","OK",$K127)</f>
        <v>OK</v>
      </c>
      <c r="M127" s="47" t="str">
        <f aca="false">IF(EXACT($L127,$I127),"ok","CHECK")</f>
        <v>ok</v>
      </c>
    </row>
    <row r="128" customFormat="false" ht="12" hidden="false" customHeight="true" outlineLevel="0" collapsed="false">
      <c r="B128" s="50" t="s">
        <v>146</v>
      </c>
      <c r="C128" s="50" t="s">
        <v>235</v>
      </c>
      <c r="D128" s="79" t="s">
        <v>122</v>
      </c>
      <c r="E128" s="80" t="n">
        <v>46190</v>
      </c>
      <c r="F128" s="50" t="s">
        <v>426</v>
      </c>
      <c r="G128" s="81" t="s">
        <v>237</v>
      </c>
      <c r="H128" s="82" t="n">
        <v>12520.89</v>
      </c>
      <c r="I128" s="37" t="s">
        <v>226</v>
      </c>
      <c r="J128" s="37" t="s">
        <v>77</v>
      </c>
      <c r="K128" s="37" t="str">
        <f aca="false">TRIM(IF($B128="UNASSIGNED","NO COST CENTRE ","")&amp;IF(ISNA(MATCH($C128,Mapping!$B$7:$B$36,0)),"UNMAPPED ","")&amp;IF(COUNTIFS($C$4:$C128,$C128,$F$4:$F128,$F128,$H$4:$H128,$H128)&gt;1,"DUPLICATE ","")&amp;IF(AND(NOT(ISNA(MATCH($C128,Mapping!$B$7:$B$36,0))),$H128&lt;-'Control Panel'!$E$16),"CREDIT ","")&amp;IF(AND(NOT(ISNA(MATCH($C128,Mapping!$B$7:$B$36,0))),COUNTIFS(Budget!$B$4:$B$107,$B128,Budget!$C$4:$C$107,$D128)=0),"NO BUDGET ",""))</f>
        <v/>
      </c>
      <c r="L128" s="83" t="str">
        <f aca="false">IF($K128="","OK",$K128)</f>
        <v>OK</v>
      </c>
      <c r="M128" s="47" t="str">
        <f aca="false">IF(EXACT($L128,$I128),"ok","CHECK")</f>
        <v>ok</v>
      </c>
    </row>
    <row r="129" customFormat="false" ht="12" hidden="false" customHeight="true" outlineLevel="0" collapsed="false">
      <c r="B129" s="50" t="s">
        <v>146</v>
      </c>
      <c r="C129" s="50" t="s">
        <v>223</v>
      </c>
      <c r="D129" s="79" t="s">
        <v>113</v>
      </c>
      <c r="E129" s="80" t="n">
        <v>46191</v>
      </c>
      <c r="F129" s="50" t="s">
        <v>427</v>
      </c>
      <c r="G129" s="81" t="s">
        <v>315</v>
      </c>
      <c r="H129" s="82" t="n">
        <v>2669.12</v>
      </c>
      <c r="I129" s="37" t="s">
        <v>226</v>
      </c>
      <c r="J129" s="37" t="s">
        <v>77</v>
      </c>
      <c r="K129" s="37" t="str">
        <f aca="false">TRIM(IF($B129="UNASSIGNED","NO COST CENTRE ","")&amp;IF(ISNA(MATCH($C129,Mapping!$B$7:$B$36,0)),"UNMAPPED ","")&amp;IF(COUNTIFS($C$4:$C129,$C129,$F$4:$F129,$F129,$H$4:$H129,$H129)&gt;1,"DUPLICATE ","")&amp;IF(AND(NOT(ISNA(MATCH($C129,Mapping!$B$7:$B$36,0))),$H129&lt;-'Control Panel'!$E$16),"CREDIT ","")&amp;IF(AND(NOT(ISNA(MATCH($C129,Mapping!$B$7:$B$36,0))),COUNTIFS(Budget!$B$4:$B$107,$B129,Budget!$C$4:$C$107,$D129)=0),"NO BUDGET ",""))</f>
        <v/>
      </c>
      <c r="L129" s="83" t="str">
        <f aca="false">IF($K129="","OK",$K129)</f>
        <v>OK</v>
      </c>
      <c r="M129" s="47" t="str">
        <f aca="false">IF(EXACT($L129,$I129),"ok","CHECK")</f>
        <v>ok</v>
      </c>
    </row>
    <row r="130" customFormat="false" ht="12" hidden="false" customHeight="true" outlineLevel="0" collapsed="false">
      <c r="B130" s="50" t="s">
        <v>146</v>
      </c>
      <c r="C130" s="50" t="s">
        <v>238</v>
      </c>
      <c r="D130" s="79" t="s">
        <v>110</v>
      </c>
      <c r="E130" s="80" t="n">
        <v>46191</v>
      </c>
      <c r="F130" s="50" t="s">
        <v>428</v>
      </c>
      <c r="G130" s="81" t="s">
        <v>356</v>
      </c>
      <c r="H130" s="82" t="n">
        <v>2465.51</v>
      </c>
      <c r="I130" s="37" t="s">
        <v>226</v>
      </c>
      <c r="J130" s="37" t="s">
        <v>77</v>
      </c>
      <c r="K130" s="37" t="str">
        <f aca="false">TRIM(IF($B130="UNASSIGNED","NO COST CENTRE ","")&amp;IF(ISNA(MATCH($C130,Mapping!$B$7:$B$36,0)),"UNMAPPED ","")&amp;IF(COUNTIFS($C$4:$C130,$C130,$F$4:$F130,$F130,$H$4:$H130,$H130)&gt;1,"DUPLICATE ","")&amp;IF(AND(NOT(ISNA(MATCH($C130,Mapping!$B$7:$B$36,0))),$H130&lt;-'Control Panel'!$E$16),"CREDIT ","")&amp;IF(AND(NOT(ISNA(MATCH($C130,Mapping!$B$7:$B$36,0))),COUNTIFS(Budget!$B$4:$B$107,$B130,Budget!$C$4:$C$107,$D130)=0),"NO BUDGET ",""))</f>
        <v/>
      </c>
      <c r="L130" s="83" t="str">
        <f aca="false">IF($K130="","OK",$K130)</f>
        <v>OK</v>
      </c>
      <c r="M130" s="47" t="str">
        <f aca="false">IF(EXACT($L130,$I130),"ok","CHECK")</f>
        <v>ok</v>
      </c>
    </row>
    <row r="131" customFormat="false" ht="12" hidden="false" customHeight="true" outlineLevel="0" collapsed="false">
      <c r="B131" s="50" t="s">
        <v>146</v>
      </c>
      <c r="C131" s="50" t="s">
        <v>266</v>
      </c>
      <c r="D131" s="79" t="s">
        <v>109</v>
      </c>
      <c r="E131" s="80" t="n">
        <v>46191</v>
      </c>
      <c r="F131" s="50" t="s">
        <v>429</v>
      </c>
      <c r="G131" s="81" t="s">
        <v>354</v>
      </c>
      <c r="H131" s="82" t="n">
        <v>1907.57</v>
      </c>
      <c r="I131" s="37" t="s">
        <v>226</v>
      </c>
      <c r="J131" s="37" t="s">
        <v>77</v>
      </c>
      <c r="K131" s="37" t="str">
        <f aca="false">TRIM(IF($B131="UNASSIGNED","NO COST CENTRE ","")&amp;IF(ISNA(MATCH($C131,Mapping!$B$7:$B$36,0)),"UNMAPPED ","")&amp;IF(COUNTIFS($C$4:$C131,$C131,$F$4:$F131,$F131,$H$4:$H131,$H131)&gt;1,"DUPLICATE ","")&amp;IF(AND(NOT(ISNA(MATCH($C131,Mapping!$B$7:$B$36,0))),$H131&lt;-'Control Panel'!$E$16),"CREDIT ","")&amp;IF(AND(NOT(ISNA(MATCH($C131,Mapping!$B$7:$B$36,0))),COUNTIFS(Budget!$B$4:$B$107,$B131,Budget!$C$4:$C$107,$D131)=0),"NO BUDGET ",""))</f>
        <v/>
      </c>
      <c r="L131" s="83" t="str">
        <f aca="false">IF($K131="","OK",$K131)</f>
        <v>OK</v>
      </c>
      <c r="M131" s="47" t="str">
        <f aca="false">IF(EXACT($L131,$I131),"ok","CHECK")</f>
        <v>ok</v>
      </c>
    </row>
    <row r="132" customFormat="false" ht="12" hidden="false" customHeight="true" outlineLevel="0" collapsed="false">
      <c r="B132" s="50" t="s">
        <v>146</v>
      </c>
      <c r="C132" s="50" t="s">
        <v>247</v>
      </c>
      <c r="D132" s="79" t="s">
        <v>110</v>
      </c>
      <c r="E132" s="80" t="n">
        <v>46191</v>
      </c>
      <c r="F132" s="50" t="s">
        <v>430</v>
      </c>
      <c r="G132" s="81" t="s">
        <v>249</v>
      </c>
      <c r="H132" s="82" t="n">
        <v>2291.67</v>
      </c>
      <c r="I132" s="37" t="s">
        <v>226</v>
      </c>
      <c r="J132" s="37" t="s">
        <v>77</v>
      </c>
      <c r="K132" s="37" t="str">
        <f aca="false">TRIM(IF($B132="UNASSIGNED","NO COST CENTRE ","")&amp;IF(ISNA(MATCH($C132,Mapping!$B$7:$B$36,0)),"UNMAPPED ","")&amp;IF(COUNTIFS($C$4:$C132,$C132,$F$4:$F132,$F132,$H$4:$H132,$H132)&gt;1,"DUPLICATE ","")&amp;IF(AND(NOT(ISNA(MATCH($C132,Mapping!$B$7:$B$36,0))),$H132&lt;-'Control Panel'!$E$16),"CREDIT ","")&amp;IF(AND(NOT(ISNA(MATCH($C132,Mapping!$B$7:$B$36,0))),COUNTIFS(Budget!$B$4:$B$107,$B132,Budget!$C$4:$C$107,$D132)=0),"NO BUDGET ",""))</f>
        <v/>
      </c>
      <c r="L132" s="83" t="str">
        <f aca="false">IF($K132="","OK",$K132)</f>
        <v>OK</v>
      </c>
      <c r="M132" s="47" t="str">
        <f aca="false">IF(EXACT($L132,$I132),"ok","CHECK")</f>
        <v>ok</v>
      </c>
    </row>
    <row r="133" customFormat="false" ht="12" hidden="false" customHeight="true" outlineLevel="0" collapsed="false">
      <c r="B133" s="50" t="s">
        <v>146</v>
      </c>
      <c r="C133" s="50" t="s">
        <v>337</v>
      </c>
      <c r="D133" s="79" t="s">
        <v>109</v>
      </c>
      <c r="E133" s="80" t="n">
        <v>46191</v>
      </c>
      <c r="F133" s="50" t="s">
        <v>431</v>
      </c>
      <c r="G133" s="81" t="s">
        <v>334</v>
      </c>
      <c r="H133" s="82" t="n">
        <v>1143.98</v>
      </c>
      <c r="I133" s="37" t="s">
        <v>226</v>
      </c>
      <c r="J133" s="37" t="s">
        <v>77</v>
      </c>
      <c r="K133" s="37" t="str">
        <f aca="false">TRIM(IF($B133="UNASSIGNED","NO COST CENTRE ","")&amp;IF(ISNA(MATCH($C133,Mapping!$B$7:$B$36,0)),"UNMAPPED ","")&amp;IF(COUNTIFS($C$4:$C133,$C133,$F$4:$F133,$F133,$H$4:$H133,$H133)&gt;1,"DUPLICATE ","")&amp;IF(AND(NOT(ISNA(MATCH($C133,Mapping!$B$7:$B$36,0))),$H133&lt;-'Control Panel'!$E$16),"CREDIT ","")&amp;IF(AND(NOT(ISNA(MATCH($C133,Mapping!$B$7:$B$36,0))),COUNTIFS(Budget!$B$4:$B$107,$B133,Budget!$C$4:$C$107,$D133)=0),"NO BUDGET ",""))</f>
        <v/>
      </c>
      <c r="L133" s="83" t="str">
        <f aca="false">IF($K133="","OK",$K133)</f>
        <v>OK</v>
      </c>
      <c r="M133" s="47" t="str">
        <f aca="false">IF(EXACT($L133,$I133),"ok","CHECK")</f>
        <v>ok</v>
      </c>
    </row>
    <row r="134" customFormat="false" ht="12" hidden="false" customHeight="true" outlineLevel="0" collapsed="false">
      <c r="B134" s="50" t="s">
        <v>146</v>
      </c>
      <c r="C134" s="50" t="s">
        <v>235</v>
      </c>
      <c r="D134" s="79" t="s">
        <v>122</v>
      </c>
      <c r="E134" s="80" t="n">
        <v>46192</v>
      </c>
      <c r="F134" s="50" t="s">
        <v>432</v>
      </c>
      <c r="G134" s="81" t="s">
        <v>237</v>
      </c>
      <c r="H134" s="82" t="n">
        <v>15589.11</v>
      </c>
      <c r="I134" s="37" t="s">
        <v>226</v>
      </c>
      <c r="J134" s="37" t="s">
        <v>77</v>
      </c>
      <c r="K134" s="37" t="str">
        <f aca="false">TRIM(IF($B134="UNASSIGNED","NO COST CENTRE ","")&amp;IF(ISNA(MATCH($C134,Mapping!$B$7:$B$36,0)),"UNMAPPED ","")&amp;IF(COUNTIFS($C$4:$C134,$C134,$F$4:$F134,$F134,$H$4:$H134,$H134)&gt;1,"DUPLICATE ","")&amp;IF(AND(NOT(ISNA(MATCH($C134,Mapping!$B$7:$B$36,0))),$H134&lt;-'Control Panel'!$E$16),"CREDIT ","")&amp;IF(AND(NOT(ISNA(MATCH($C134,Mapping!$B$7:$B$36,0))),COUNTIFS(Budget!$B$4:$B$107,$B134,Budget!$C$4:$C$107,$D134)=0),"NO BUDGET ",""))</f>
        <v/>
      </c>
      <c r="L134" s="83" t="str">
        <f aca="false">IF($K134="","OK",$K134)</f>
        <v>OK</v>
      </c>
      <c r="M134" s="47" t="str">
        <f aca="false">IF(EXACT($L134,$I134),"ok","CHECK")</f>
        <v>ok</v>
      </c>
    </row>
    <row r="135" customFormat="false" ht="12" hidden="false" customHeight="true" outlineLevel="0" collapsed="false">
      <c r="B135" s="50" t="s">
        <v>146</v>
      </c>
      <c r="C135" s="50" t="s">
        <v>230</v>
      </c>
      <c r="D135" s="79" t="s">
        <v>115</v>
      </c>
      <c r="E135" s="80" t="n">
        <v>46192</v>
      </c>
      <c r="F135" s="50" t="s">
        <v>433</v>
      </c>
      <c r="G135" s="81" t="s">
        <v>307</v>
      </c>
      <c r="H135" s="82" t="n">
        <v>1767.13</v>
      </c>
      <c r="I135" s="37" t="s">
        <v>226</v>
      </c>
      <c r="J135" s="37" t="s">
        <v>77</v>
      </c>
      <c r="K135" s="37" t="str">
        <f aca="false">TRIM(IF($B135="UNASSIGNED","NO COST CENTRE ","")&amp;IF(ISNA(MATCH($C135,Mapping!$B$7:$B$36,0)),"UNMAPPED ","")&amp;IF(COUNTIFS($C$4:$C135,$C135,$F$4:$F135,$F135,$H$4:$H135,$H135)&gt;1,"DUPLICATE ","")&amp;IF(AND(NOT(ISNA(MATCH($C135,Mapping!$B$7:$B$36,0))),$H135&lt;-'Control Panel'!$E$16),"CREDIT ","")&amp;IF(AND(NOT(ISNA(MATCH($C135,Mapping!$B$7:$B$36,0))),COUNTIFS(Budget!$B$4:$B$107,$B135,Budget!$C$4:$C$107,$D135)=0),"NO BUDGET ",""))</f>
        <v/>
      </c>
      <c r="L135" s="83" t="str">
        <f aca="false">IF($K135="","OK",$K135)</f>
        <v>OK</v>
      </c>
      <c r="M135" s="47" t="str">
        <f aca="false">IF(EXACT($L135,$I135),"ok","CHECK")</f>
        <v>ok</v>
      </c>
    </row>
    <row r="136" customFormat="false" ht="12" hidden="false" customHeight="true" outlineLevel="0" collapsed="false">
      <c r="B136" s="50" t="s">
        <v>146</v>
      </c>
      <c r="C136" s="50" t="s">
        <v>247</v>
      </c>
      <c r="D136" s="79" t="s">
        <v>110</v>
      </c>
      <c r="E136" s="80" t="n">
        <v>46192</v>
      </c>
      <c r="F136" s="50" t="s">
        <v>434</v>
      </c>
      <c r="G136" s="81" t="s">
        <v>330</v>
      </c>
      <c r="H136" s="82" t="n">
        <v>2034.32</v>
      </c>
      <c r="I136" s="37" t="s">
        <v>226</v>
      </c>
      <c r="J136" s="37" t="s">
        <v>77</v>
      </c>
      <c r="K136" s="37" t="str">
        <f aca="false">TRIM(IF($B136="UNASSIGNED","NO COST CENTRE ","")&amp;IF(ISNA(MATCH($C136,Mapping!$B$7:$B$36,0)),"UNMAPPED ","")&amp;IF(COUNTIFS($C$4:$C136,$C136,$F$4:$F136,$F136,$H$4:$H136,$H136)&gt;1,"DUPLICATE ","")&amp;IF(AND(NOT(ISNA(MATCH($C136,Mapping!$B$7:$B$36,0))),$H136&lt;-'Control Panel'!$E$16),"CREDIT ","")&amp;IF(AND(NOT(ISNA(MATCH($C136,Mapping!$B$7:$B$36,0))),COUNTIFS(Budget!$B$4:$B$107,$B136,Budget!$C$4:$C$107,$D136)=0),"NO BUDGET ",""))</f>
        <v/>
      </c>
      <c r="L136" s="83" t="str">
        <f aca="false">IF($K136="","OK",$K136)</f>
        <v>OK</v>
      </c>
      <c r="M136" s="47" t="str">
        <f aca="false">IF(EXACT($L136,$I136),"ok","CHECK")</f>
        <v>ok</v>
      </c>
    </row>
    <row r="137" customFormat="false" ht="12" hidden="false" customHeight="true" outlineLevel="0" collapsed="false">
      <c r="B137" s="50" t="s">
        <v>146</v>
      </c>
      <c r="C137" s="50" t="s">
        <v>259</v>
      </c>
      <c r="D137" s="79" t="s">
        <v>111</v>
      </c>
      <c r="E137" s="80" t="n">
        <v>46193</v>
      </c>
      <c r="F137" s="50" t="s">
        <v>435</v>
      </c>
      <c r="G137" s="81" t="s">
        <v>360</v>
      </c>
      <c r="H137" s="82" t="n">
        <v>2059.93</v>
      </c>
      <c r="I137" s="37" t="s">
        <v>226</v>
      </c>
      <c r="J137" s="37" t="s">
        <v>77</v>
      </c>
      <c r="K137" s="37" t="str">
        <f aca="false">TRIM(IF($B137="UNASSIGNED","NO COST CENTRE ","")&amp;IF(ISNA(MATCH($C137,Mapping!$B$7:$B$36,0)),"UNMAPPED ","")&amp;IF(COUNTIFS($C$4:$C137,$C137,$F$4:$F137,$F137,$H$4:$H137,$H137)&gt;1,"DUPLICATE ","")&amp;IF(AND(NOT(ISNA(MATCH($C137,Mapping!$B$7:$B$36,0))),$H137&lt;-'Control Panel'!$E$16),"CREDIT ","")&amp;IF(AND(NOT(ISNA(MATCH($C137,Mapping!$B$7:$B$36,0))),COUNTIFS(Budget!$B$4:$B$107,$B137,Budget!$C$4:$C$107,$D137)=0),"NO BUDGET ",""))</f>
        <v/>
      </c>
      <c r="L137" s="83" t="str">
        <f aca="false">IF($K137="","OK",$K137)</f>
        <v>OK</v>
      </c>
      <c r="M137" s="47" t="str">
        <f aca="false">IF(EXACT($L137,$I137),"ok","CHECK")</f>
        <v>ok</v>
      </c>
    </row>
    <row r="138" customFormat="false" ht="12" hidden="false" customHeight="true" outlineLevel="0" collapsed="false">
      <c r="B138" s="50" t="s">
        <v>146</v>
      </c>
      <c r="C138" s="50" t="s">
        <v>259</v>
      </c>
      <c r="D138" s="79" t="s">
        <v>111</v>
      </c>
      <c r="E138" s="80" t="n">
        <v>46194</v>
      </c>
      <c r="F138" s="50" t="s">
        <v>436</v>
      </c>
      <c r="G138" s="81" t="s">
        <v>288</v>
      </c>
      <c r="H138" s="82" t="n">
        <v>2672.96</v>
      </c>
      <c r="I138" s="37" t="s">
        <v>226</v>
      </c>
      <c r="J138" s="37" t="s">
        <v>77</v>
      </c>
      <c r="K138" s="37" t="str">
        <f aca="false">TRIM(IF($B138="UNASSIGNED","NO COST CENTRE ","")&amp;IF(ISNA(MATCH($C138,Mapping!$B$7:$B$36,0)),"UNMAPPED ","")&amp;IF(COUNTIFS($C$4:$C138,$C138,$F$4:$F138,$F138,$H$4:$H138,$H138)&gt;1,"DUPLICATE ","")&amp;IF(AND(NOT(ISNA(MATCH($C138,Mapping!$B$7:$B$36,0))),$H138&lt;-'Control Panel'!$E$16),"CREDIT ","")&amp;IF(AND(NOT(ISNA(MATCH($C138,Mapping!$B$7:$B$36,0))),COUNTIFS(Budget!$B$4:$B$107,$B138,Budget!$C$4:$C$107,$D138)=0),"NO BUDGET ",""))</f>
        <v/>
      </c>
      <c r="L138" s="83" t="str">
        <f aca="false">IF($K138="","OK",$K138)</f>
        <v>OK</v>
      </c>
      <c r="M138" s="47" t="str">
        <f aca="false">IF(EXACT($L138,$I138),"ok","CHECK")</f>
        <v>ok</v>
      </c>
    </row>
    <row r="139" customFormat="false" ht="12" hidden="false" customHeight="true" outlineLevel="0" collapsed="false">
      <c r="B139" s="50" t="s">
        <v>146</v>
      </c>
      <c r="C139" s="50" t="s">
        <v>223</v>
      </c>
      <c r="D139" s="79" t="s">
        <v>113</v>
      </c>
      <c r="E139" s="80" t="n">
        <v>46194</v>
      </c>
      <c r="F139" s="50" t="s">
        <v>437</v>
      </c>
      <c r="G139" s="81" t="s">
        <v>438</v>
      </c>
      <c r="H139" s="82" t="n">
        <v>1617.22</v>
      </c>
      <c r="I139" s="37" t="s">
        <v>226</v>
      </c>
      <c r="J139" s="37" t="s">
        <v>77</v>
      </c>
      <c r="K139" s="37" t="str">
        <f aca="false">TRIM(IF($B139="UNASSIGNED","NO COST CENTRE ","")&amp;IF(ISNA(MATCH($C139,Mapping!$B$7:$B$36,0)),"UNMAPPED ","")&amp;IF(COUNTIFS($C$4:$C139,$C139,$F$4:$F139,$F139,$H$4:$H139,$H139)&gt;1,"DUPLICATE ","")&amp;IF(AND(NOT(ISNA(MATCH($C139,Mapping!$B$7:$B$36,0))),$H139&lt;-'Control Panel'!$E$16),"CREDIT ","")&amp;IF(AND(NOT(ISNA(MATCH($C139,Mapping!$B$7:$B$36,0))),COUNTIFS(Budget!$B$4:$B$107,$B139,Budget!$C$4:$C$107,$D139)=0),"NO BUDGET ",""))</f>
        <v/>
      </c>
      <c r="L139" s="83" t="str">
        <f aca="false">IF($K139="","OK",$K139)</f>
        <v>OK</v>
      </c>
      <c r="M139" s="47" t="str">
        <f aca="false">IF(EXACT($L139,$I139),"ok","CHECK")</f>
        <v>ok</v>
      </c>
    </row>
    <row r="140" customFormat="false" ht="12" hidden="false" customHeight="true" outlineLevel="0" collapsed="false">
      <c r="B140" s="50" t="s">
        <v>146</v>
      </c>
      <c r="C140" s="50" t="s">
        <v>305</v>
      </c>
      <c r="D140" s="79" t="s">
        <v>115</v>
      </c>
      <c r="E140" s="80" t="n">
        <v>46195</v>
      </c>
      <c r="F140" s="50" t="s">
        <v>439</v>
      </c>
      <c r="G140" s="81" t="s">
        <v>440</v>
      </c>
      <c r="H140" s="82" t="n">
        <v>1629.47</v>
      </c>
      <c r="I140" s="37" t="s">
        <v>226</v>
      </c>
      <c r="J140" s="37" t="s">
        <v>77</v>
      </c>
      <c r="K140" s="37" t="str">
        <f aca="false">TRIM(IF($B140="UNASSIGNED","NO COST CENTRE ","")&amp;IF(ISNA(MATCH($C140,Mapping!$B$7:$B$36,0)),"UNMAPPED ","")&amp;IF(COUNTIFS($C$4:$C140,$C140,$F$4:$F140,$F140,$H$4:$H140,$H140)&gt;1,"DUPLICATE ","")&amp;IF(AND(NOT(ISNA(MATCH($C140,Mapping!$B$7:$B$36,0))),$H140&lt;-'Control Panel'!$E$16),"CREDIT ","")&amp;IF(AND(NOT(ISNA(MATCH($C140,Mapping!$B$7:$B$36,0))),COUNTIFS(Budget!$B$4:$B$107,$B140,Budget!$C$4:$C$107,$D140)=0),"NO BUDGET ",""))</f>
        <v/>
      </c>
      <c r="L140" s="83" t="str">
        <f aca="false">IF($K140="","OK",$K140)</f>
        <v>OK</v>
      </c>
      <c r="M140" s="47" t="str">
        <f aca="false">IF(EXACT($L140,$I140),"ok","CHECK")</f>
        <v>ok</v>
      </c>
    </row>
    <row r="141" customFormat="false" ht="12" hidden="false" customHeight="true" outlineLevel="0" collapsed="false">
      <c r="B141" s="50" t="s">
        <v>146</v>
      </c>
      <c r="C141" s="50" t="s">
        <v>238</v>
      </c>
      <c r="D141" s="79" t="s">
        <v>110</v>
      </c>
      <c r="E141" s="80" t="n">
        <v>46195</v>
      </c>
      <c r="F141" s="50" t="s">
        <v>441</v>
      </c>
      <c r="G141" s="81" t="s">
        <v>330</v>
      </c>
      <c r="H141" s="82" t="n">
        <v>2724.42</v>
      </c>
      <c r="I141" s="37" t="s">
        <v>226</v>
      </c>
      <c r="J141" s="37" t="s">
        <v>77</v>
      </c>
      <c r="K141" s="37" t="str">
        <f aca="false">TRIM(IF($B141="UNASSIGNED","NO COST CENTRE ","")&amp;IF(ISNA(MATCH($C141,Mapping!$B$7:$B$36,0)),"UNMAPPED ","")&amp;IF(COUNTIFS($C$4:$C141,$C141,$F$4:$F141,$F141,$H$4:$H141,$H141)&gt;1,"DUPLICATE ","")&amp;IF(AND(NOT(ISNA(MATCH($C141,Mapping!$B$7:$B$36,0))),$H141&lt;-'Control Panel'!$E$16),"CREDIT ","")&amp;IF(AND(NOT(ISNA(MATCH($C141,Mapping!$B$7:$B$36,0))),COUNTIFS(Budget!$B$4:$B$107,$B141,Budget!$C$4:$C$107,$D141)=0),"NO BUDGET ",""))</f>
        <v/>
      </c>
      <c r="L141" s="83" t="str">
        <f aca="false">IF($K141="","OK",$K141)</f>
        <v>OK</v>
      </c>
      <c r="M141" s="47" t="str">
        <f aca="false">IF(EXACT($L141,$I141),"ok","CHECK")</f>
        <v>ok</v>
      </c>
    </row>
    <row r="142" customFormat="false" ht="12" hidden="false" customHeight="true" outlineLevel="0" collapsed="false">
      <c r="B142" s="50" t="s">
        <v>146</v>
      </c>
      <c r="C142" s="50" t="s">
        <v>223</v>
      </c>
      <c r="D142" s="79" t="s">
        <v>113</v>
      </c>
      <c r="E142" s="80" t="n">
        <v>46195</v>
      </c>
      <c r="F142" s="50" t="s">
        <v>442</v>
      </c>
      <c r="G142" s="81" t="s">
        <v>234</v>
      </c>
      <c r="H142" s="82" t="n">
        <v>3050.64</v>
      </c>
      <c r="I142" s="37" t="s">
        <v>226</v>
      </c>
      <c r="J142" s="37" t="s">
        <v>77</v>
      </c>
      <c r="K142" s="37" t="str">
        <f aca="false">TRIM(IF($B142="UNASSIGNED","NO COST CENTRE ","")&amp;IF(ISNA(MATCH($C142,Mapping!$B$7:$B$36,0)),"UNMAPPED ","")&amp;IF(COUNTIFS($C$4:$C142,$C142,$F$4:$F142,$F142,$H$4:$H142,$H142)&gt;1,"DUPLICATE ","")&amp;IF(AND(NOT(ISNA(MATCH($C142,Mapping!$B$7:$B$36,0))),$H142&lt;-'Control Panel'!$E$16),"CREDIT ","")&amp;IF(AND(NOT(ISNA(MATCH($C142,Mapping!$B$7:$B$36,0))),COUNTIFS(Budget!$B$4:$B$107,$B142,Budget!$C$4:$C$107,$D142)=0),"NO BUDGET ",""))</f>
        <v/>
      </c>
      <c r="L142" s="83" t="str">
        <f aca="false">IF($K142="","OK",$K142)</f>
        <v>OK</v>
      </c>
      <c r="M142" s="47" t="str">
        <f aca="false">IF(EXACT($L142,$I142),"ok","CHECK")</f>
        <v>ok</v>
      </c>
    </row>
    <row r="143" customFormat="false" ht="12" hidden="false" customHeight="true" outlineLevel="0" collapsed="false">
      <c r="B143" s="50" t="s">
        <v>146</v>
      </c>
      <c r="C143" s="50" t="s">
        <v>259</v>
      </c>
      <c r="D143" s="79" t="s">
        <v>111</v>
      </c>
      <c r="E143" s="80" t="n">
        <v>46195</v>
      </c>
      <c r="F143" s="50" t="s">
        <v>443</v>
      </c>
      <c r="G143" s="81" t="s">
        <v>261</v>
      </c>
      <c r="H143" s="82" t="n">
        <v>2189.02</v>
      </c>
      <c r="I143" s="37" t="s">
        <v>226</v>
      </c>
      <c r="J143" s="37" t="s">
        <v>77</v>
      </c>
      <c r="K143" s="37" t="str">
        <f aca="false">TRIM(IF($B143="UNASSIGNED","NO COST CENTRE ","")&amp;IF(ISNA(MATCH($C143,Mapping!$B$7:$B$36,0)),"UNMAPPED ","")&amp;IF(COUNTIFS($C$4:$C143,$C143,$F$4:$F143,$F143,$H$4:$H143,$H143)&gt;1,"DUPLICATE ","")&amp;IF(AND(NOT(ISNA(MATCH($C143,Mapping!$B$7:$B$36,0))),$H143&lt;-'Control Panel'!$E$16),"CREDIT ","")&amp;IF(AND(NOT(ISNA(MATCH($C143,Mapping!$B$7:$B$36,0))),COUNTIFS(Budget!$B$4:$B$107,$B143,Budget!$C$4:$C$107,$D143)=0),"NO BUDGET ",""))</f>
        <v/>
      </c>
      <c r="L143" s="83" t="str">
        <f aca="false">IF($K143="","OK",$K143)</f>
        <v>OK</v>
      </c>
      <c r="M143" s="47" t="str">
        <f aca="false">IF(EXACT($L143,$I143),"ok","CHECK")</f>
        <v>ok</v>
      </c>
    </row>
    <row r="144" customFormat="false" ht="12" hidden="false" customHeight="true" outlineLevel="0" collapsed="false">
      <c r="B144" s="50" t="s">
        <v>146</v>
      </c>
      <c r="C144" s="50" t="s">
        <v>244</v>
      </c>
      <c r="D144" s="79" t="s">
        <v>111</v>
      </c>
      <c r="E144" s="80" t="n">
        <v>46197</v>
      </c>
      <c r="F144" s="50" t="s">
        <v>444</v>
      </c>
      <c r="G144" s="81" t="s">
        <v>342</v>
      </c>
      <c r="H144" s="82" t="n">
        <v>3289.31</v>
      </c>
      <c r="I144" s="37" t="s">
        <v>226</v>
      </c>
      <c r="J144" s="37" t="s">
        <v>77</v>
      </c>
      <c r="K144" s="37" t="str">
        <f aca="false">TRIM(IF($B144="UNASSIGNED","NO COST CENTRE ","")&amp;IF(ISNA(MATCH($C144,Mapping!$B$7:$B$36,0)),"UNMAPPED ","")&amp;IF(COUNTIFS($C$4:$C144,$C144,$F$4:$F144,$F144,$H$4:$H144,$H144)&gt;1,"DUPLICATE ","")&amp;IF(AND(NOT(ISNA(MATCH($C144,Mapping!$B$7:$B$36,0))),$H144&lt;-'Control Panel'!$E$16),"CREDIT ","")&amp;IF(AND(NOT(ISNA(MATCH($C144,Mapping!$B$7:$B$36,0))),COUNTIFS(Budget!$B$4:$B$107,$B144,Budget!$C$4:$C$107,$D144)=0),"NO BUDGET ",""))</f>
        <v/>
      </c>
      <c r="L144" s="83" t="str">
        <f aca="false">IF($K144="","OK",$K144)</f>
        <v>OK</v>
      </c>
      <c r="M144" s="47" t="str">
        <f aca="false">IF(EXACT($L144,$I144),"ok","CHECK")</f>
        <v>ok</v>
      </c>
    </row>
    <row r="145" customFormat="false" ht="12" hidden="false" customHeight="true" outlineLevel="0" collapsed="false">
      <c r="B145" s="50" t="s">
        <v>146</v>
      </c>
      <c r="C145" s="50" t="s">
        <v>337</v>
      </c>
      <c r="D145" s="79" t="s">
        <v>109</v>
      </c>
      <c r="E145" s="80" t="n">
        <v>46197</v>
      </c>
      <c r="F145" s="50" t="s">
        <v>445</v>
      </c>
      <c r="G145" s="81" t="s">
        <v>446</v>
      </c>
      <c r="H145" s="82" t="n">
        <v>1338.32</v>
      </c>
      <c r="I145" s="37" t="s">
        <v>226</v>
      </c>
      <c r="J145" s="37" t="s">
        <v>77</v>
      </c>
      <c r="K145" s="37" t="str">
        <f aca="false">TRIM(IF($B145="UNASSIGNED","NO COST CENTRE ","")&amp;IF(ISNA(MATCH($C145,Mapping!$B$7:$B$36,0)),"UNMAPPED ","")&amp;IF(COUNTIFS($C$4:$C145,$C145,$F$4:$F145,$F145,$H$4:$H145,$H145)&gt;1,"DUPLICATE ","")&amp;IF(AND(NOT(ISNA(MATCH($C145,Mapping!$B$7:$B$36,0))),$H145&lt;-'Control Panel'!$E$16),"CREDIT ","")&amp;IF(AND(NOT(ISNA(MATCH($C145,Mapping!$B$7:$B$36,0))),COUNTIFS(Budget!$B$4:$B$107,$B145,Budget!$C$4:$C$107,$D145)=0),"NO BUDGET ",""))</f>
        <v/>
      </c>
      <c r="L145" s="83" t="str">
        <f aca="false">IF($K145="","OK",$K145)</f>
        <v>OK</v>
      </c>
      <c r="M145" s="47" t="str">
        <f aca="false">IF(EXACT($L145,$I145),"ok","CHECK")</f>
        <v>ok</v>
      </c>
    </row>
    <row r="146" customFormat="false" ht="12" hidden="false" customHeight="true" outlineLevel="0" collapsed="false">
      <c r="B146" s="50" t="s">
        <v>146</v>
      </c>
      <c r="C146" s="50" t="s">
        <v>223</v>
      </c>
      <c r="D146" s="79" t="s">
        <v>113</v>
      </c>
      <c r="E146" s="80" t="n">
        <v>46197</v>
      </c>
      <c r="F146" s="50" t="s">
        <v>447</v>
      </c>
      <c r="G146" s="81" t="s">
        <v>315</v>
      </c>
      <c r="H146" s="82" t="n">
        <v>2490.19</v>
      </c>
      <c r="I146" s="37" t="s">
        <v>226</v>
      </c>
      <c r="J146" s="37" t="s">
        <v>77</v>
      </c>
      <c r="K146" s="37" t="str">
        <f aca="false">TRIM(IF($B146="UNASSIGNED","NO COST CENTRE ","")&amp;IF(ISNA(MATCH($C146,Mapping!$B$7:$B$36,0)),"UNMAPPED ","")&amp;IF(COUNTIFS($C$4:$C146,$C146,$F$4:$F146,$F146,$H$4:$H146,$H146)&gt;1,"DUPLICATE ","")&amp;IF(AND(NOT(ISNA(MATCH($C146,Mapping!$B$7:$B$36,0))),$H146&lt;-'Control Panel'!$E$16),"CREDIT ","")&amp;IF(AND(NOT(ISNA(MATCH($C146,Mapping!$B$7:$B$36,0))),COUNTIFS(Budget!$B$4:$B$107,$B146,Budget!$C$4:$C$107,$D146)=0),"NO BUDGET ",""))</f>
        <v/>
      </c>
      <c r="L146" s="83" t="str">
        <f aca="false">IF($K146="","OK",$K146)</f>
        <v>OK</v>
      </c>
      <c r="M146" s="47" t="str">
        <f aca="false">IF(EXACT($L146,$I146),"ok","CHECK")</f>
        <v>ok</v>
      </c>
    </row>
    <row r="147" customFormat="false" ht="12" hidden="false" customHeight="true" outlineLevel="0" collapsed="false">
      <c r="B147" s="50" t="s">
        <v>146</v>
      </c>
      <c r="C147" s="50" t="s">
        <v>337</v>
      </c>
      <c r="D147" s="79" t="s">
        <v>109</v>
      </c>
      <c r="E147" s="80" t="n">
        <v>46198</v>
      </c>
      <c r="F147" s="50" t="s">
        <v>448</v>
      </c>
      <c r="G147" s="81" t="s">
        <v>407</v>
      </c>
      <c r="H147" s="82" t="n">
        <v>1439.69</v>
      </c>
      <c r="I147" s="37" t="s">
        <v>226</v>
      </c>
      <c r="J147" s="37" t="s">
        <v>77</v>
      </c>
      <c r="K147" s="37" t="str">
        <f aca="false">TRIM(IF($B147="UNASSIGNED","NO COST CENTRE ","")&amp;IF(ISNA(MATCH($C147,Mapping!$B$7:$B$36,0)),"UNMAPPED ","")&amp;IF(COUNTIFS($C$4:$C147,$C147,$F$4:$F147,$F147,$H$4:$H147,$H147)&gt;1,"DUPLICATE ","")&amp;IF(AND(NOT(ISNA(MATCH($C147,Mapping!$B$7:$B$36,0))),$H147&lt;-'Control Panel'!$E$16),"CREDIT ","")&amp;IF(AND(NOT(ISNA(MATCH($C147,Mapping!$B$7:$B$36,0))),COUNTIFS(Budget!$B$4:$B$107,$B147,Budget!$C$4:$C$107,$D147)=0),"NO BUDGET ",""))</f>
        <v/>
      </c>
      <c r="L147" s="83" t="str">
        <f aca="false">IF($K147="","OK",$K147)</f>
        <v>OK</v>
      </c>
      <c r="M147" s="47" t="str">
        <f aca="false">IF(EXACT($L147,$I147),"ok","CHECK")</f>
        <v>ok</v>
      </c>
    </row>
    <row r="148" customFormat="false" ht="12" hidden="false" customHeight="true" outlineLevel="0" collapsed="false">
      <c r="B148" s="50" t="s">
        <v>146</v>
      </c>
      <c r="C148" s="50" t="s">
        <v>247</v>
      </c>
      <c r="D148" s="79" t="s">
        <v>110</v>
      </c>
      <c r="E148" s="80" t="n">
        <v>46198</v>
      </c>
      <c r="F148" s="50" t="s">
        <v>449</v>
      </c>
      <c r="G148" s="81" t="s">
        <v>356</v>
      </c>
      <c r="H148" s="82" t="n">
        <v>1643.12</v>
      </c>
      <c r="I148" s="37" t="s">
        <v>226</v>
      </c>
      <c r="J148" s="37" t="s">
        <v>77</v>
      </c>
      <c r="K148" s="37" t="str">
        <f aca="false">TRIM(IF($B148="UNASSIGNED","NO COST CENTRE ","")&amp;IF(ISNA(MATCH($C148,Mapping!$B$7:$B$36,0)),"UNMAPPED ","")&amp;IF(COUNTIFS($C$4:$C148,$C148,$F$4:$F148,$F148,$H$4:$H148,$H148)&gt;1,"DUPLICATE ","")&amp;IF(AND(NOT(ISNA(MATCH($C148,Mapping!$B$7:$B$36,0))),$H148&lt;-'Control Panel'!$E$16),"CREDIT ","")&amp;IF(AND(NOT(ISNA(MATCH($C148,Mapping!$B$7:$B$36,0))),COUNTIFS(Budget!$B$4:$B$107,$B148,Budget!$C$4:$C$107,$D148)=0),"NO BUDGET ",""))</f>
        <v/>
      </c>
      <c r="L148" s="83" t="str">
        <f aca="false">IF($K148="","OK",$K148)</f>
        <v>OK</v>
      </c>
      <c r="M148" s="47" t="str">
        <f aca="false">IF(EXACT($L148,$I148),"ok","CHECK")</f>
        <v>ok</v>
      </c>
    </row>
    <row r="149" customFormat="false" ht="12" hidden="false" customHeight="true" outlineLevel="0" collapsed="false">
      <c r="B149" s="50" t="s">
        <v>146</v>
      </c>
      <c r="C149" s="50" t="s">
        <v>247</v>
      </c>
      <c r="D149" s="79" t="s">
        <v>110</v>
      </c>
      <c r="E149" s="80" t="n">
        <v>46199</v>
      </c>
      <c r="F149" s="50" t="s">
        <v>450</v>
      </c>
      <c r="G149" s="81" t="s">
        <v>356</v>
      </c>
      <c r="H149" s="82" t="n">
        <v>1215.84</v>
      </c>
      <c r="I149" s="37" t="s">
        <v>226</v>
      </c>
      <c r="J149" s="37" t="s">
        <v>77</v>
      </c>
      <c r="K149" s="37" t="str">
        <f aca="false">TRIM(IF($B149="UNASSIGNED","NO COST CENTRE ","")&amp;IF(ISNA(MATCH($C149,Mapping!$B$7:$B$36,0)),"UNMAPPED ","")&amp;IF(COUNTIFS($C$4:$C149,$C149,$F$4:$F149,$F149,$H$4:$H149,$H149)&gt;1,"DUPLICATE ","")&amp;IF(AND(NOT(ISNA(MATCH($C149,Mapping!$B$7:$B$36,0))),$H149&lt;-'Control Panel'!$E$16),"CREDIT ","")&amp;IF(AND(NOT(ISNA(MATCH($C149,Mapping!$B$7:$B$36,0))),COUNTIFS(Budget!$B$4:$B$107,$B149,Budget!$C$4:$C$107,$D149)=0),"NO BUDGET ",""))</f>
        <v/>
      </c>
      <c r="L149" s="83" t="str">
        <f aca="false">IF($K149="","OK",$K149)</f>
        <v>OK</v>
      </c>
      <c r="M149" s="47" t="str">
        <f aca="false">IF(EXACT($L149,$I149),"ok","CHECK")</f>
        <v>ok</v>
      </c>
    </row>
    <row r="150" customFormat="false" ht="12" hidden="false" customHeight="true" outlineLevel="0" collapsed="false">
      <c r="B150" s="50" t="s">
        <v>146</v>
      </c>
      <c r="C150" s="50" t="s">
        <v>244</v>
      </c>
      <c r="D150" s="79" t="s">
        <v>111</v>
      </c>
      <c r="E150" s="80" t="n">
        <v>46199</v>
      </c>
      <c r="F150" s="50" t="s">
        <v>451</v>
      </c>
      <c r="G150" s="81" t="s">
        <v>246</v>
      </c>
      <c r="H150" s="82" t="n">
        <v>1813.34</v>
      </c>
      <c r="I150" s="37" t="s">
        <v>226</v>
      </c>
      <c r="J150" s="37" t="s">
        <v>77</v>
      </c>
      <c r="K150" s="37" t="str">
        <f aca="false">TRIM(IF($B150="UNASSIGNED","NO COST CENTRE ","")&amp;IF(ISNA(MATCH($C150,Mapping!$B$7:$B$36,0)),"UNMAPPED ","")&amp;IF(COUNTIFS($C$4:$C150,$C150,$F$4:$F150,$F150,$H$4:$H150,$H150)&gt;1,"DUPLICATE ","")&amp;IF(AND(NOT(ISNA(MATCH($C150,Mapping!$B$7:$B$36,0))),$H150&lt;-'Control Panel'!$E$16),"CREDIT ","")&amp;IF(AND(NOT(ISNA(MATCH($C150,Mapping!$B$7:$B$36,0))),COUNTIFS(Budget!$B$4:$B$107,$B150,Budget!$C$4:$C$107,$D150)=0),"NO BUDGET ",""))</f>
        <v/>
      </c>
      <c r="L150" s="83" t="str">
        <f aca="false">IF($K150="","OK",$K150)</f>
        <v>OK</v>
      </c>
      <c r="M150" s="47" t="str">
        <f aca="false">IF(EXACT($L150,$I150),"ok","CHECK")</f>
        <v>ok</v>
      </c>
    </row>
    <row r="151" customFormat="false" ht="12" hidden="false" customHeight="true" outlineLevel="0" collapsed="false">
      <c r="B151" s="50" t="s">
        <v>146</v>
      </c>
      <c r="C151" s="50" t="s">
        <v>223</v>
      </c>
      <c r="D151" s="79" t="s">
        <v>113</v>
      </c>
      <c r="E151" s="80" t="n">
        <v>46199</v>
      </c>
      <c r="F151" s="50" t="s">
        <v>452</v>
      </c>
      <c r="G151" s="81" t="s">
        <v>225</v>
      </c>
      <c r="H151" s="82" t="n">
        <v>1580.79</v>
      </c>
      <c r="I151" s="37" t="s">
        <v>226</v>
      </c>
      <c r="J151" s="37" t="s">
        <v>77</v>
      </c>
      <c r="K151" s="37" t="str">
        <f aca="false">TRIM(IF($B151="UNASSIGNED","NO COST CENTRE ","")&amp;IF(ISNA(MATCH($C151,Mapping!$B$7:$B$36,0)),"UNMAPPED ","")&amp;IF(COUNTIFS($C$4:$C151,$C151,$F$4:$F151,$F151,$H$4:$H151,$H151)&gt;1,"DUPLICATE ","")&amp;IF(AND(NOT(ISNA(MATCH($C151,Mapping!$B$7:$B$36,0))),$H151&lt;-'Control Panel'!$E$16),"CREDIT ","")&amp;IF(AND(NOT(ISNA(MATCH($C151,Mapping!$B$7:$B$36,0))),COUNTIFS(Budget!$B$4:$B$107,$B151,Budget!$C$4:$C$107,$D151)=0),"NO BUDGET ",""))</f>
        <v/>
      </c>
      <c r="L151" s="83" t="str">
        <f aca="false">IF($K151="","OK",$K151)</f>
        <v>OK</v>
      </c>
      <c r="M151" s="47" t="str">
        <f aca="false">IF(EXACT($L151,$I151),"ok","CHECK")</f>
        <v>ok</v>
      </c>
    </row>
    <row r="152" customFormat="false" ht="12" hidden="false" customHeight="true" outlineLevel="0" collapsed="false">
      <c r="B152" s="50" t="s">
        <v>146</v>
      </c>
      <c r="C152" s="50" t="s">
        <v>223</v>
      </c>
      <c r="D152" s="79" t="s">
        <v>113</v>
      </c>
      <c r="E152" s="80" t="n">
        <v>46199</v>
      </c>
      <c r="F152" s="50" t="s">
        <v>453</v>
      </c>
      <c r="G152" s="81" t="s">
        <v>375</v>
      </c>
      <c r="H152" s="82" t="n">
        <v>2113.69</v>
      </c>
      <c r="I152" s="37" t="s">
        <v>226</v>
      </c>
      <c r="J152" s="37" t="s">
        <v>77</v>
      </c>
      <c r="K152" s="37" t="str">
        <f aca="false">TRIM(IF($B152="UNASSIGNED","NO COST CENTRE ","")&amp;IF(ISNA(MATCH($C152,Mapping!$B$7:$B$36,0)),"UNMAPPED ","")&amp;IF(COUNTIFS($C$4:$C152,$C152,$F$4:$F152,$F152,$H$4:$H152,$H152)&gt;1,"DUPLICATE ","")&amp;IF(AND(NOT(ISNA(MATCH($C152,Mapping!$B$7:$B$36,0))),$H152&lt;-'Control Panel'!$E$16),"CREDIT ","")&amp;IF(AND(NOT(ISNA(MATCH($C152,Mapping!$B$7:$B$36,0))),COUNTIFS(Budget!$B$4:$B$107,$B152,Budget!$C$4:$C$107,$D152)=0),"NO BUDGET ",""))</f>
        <v/>
      </c>
      <c r="L152" s="83" t="str">
        <f aca="false">IF($K152="","OK",$K152)</f>
        <v>OK</v>
      </c>
      <c r="M152" s="47" t="str">
        <f aca="false">IF(EXACT($L152,$I152),"ok","CHECK")</f>
        <v>ok</v>
      </c>
    </row>
    <row r="153" customFormat="false" ht="12" hidden="false" customHeight="true" outlineLevel="0" collapsed="false">
      <c r="B153" s="50" t="s">
        <v>146</v>
      </c>
      <c r="C153" s="50" t="s">
        <v>337</v>
      </c>
      <c r="D153" s="79" t="s">
        <v>109</v>
      </c>
      <c r="E153" s="80" t="n">
        <v>46199</v>
      </c>
      <c r="F153" s="50" t="s">
        <v>454</v>
      </c>
      <c r="G153" s="81" t="s">
        <v>272</v>
      </c>
      <c r="H153" s="82" t="n">
        <v>1105.84</v>
      </c>
      <c r="I153" s="37" t="s">
        <v>226</v>
      </c>
      <c r="J153" s="37" t="s">
        <v>77</v>
      </c>
      <c r="K153" s="37" t="str">
        <f aca="false">TRIM(IF($B153="UNASSIGNED","NO COST CENTRE ","")&amp;IF(ISNA(MATCH($C153,Mapping!$B$7:$B$36,0)),"UNMAPPED ","")&amp;IF(COUNTIFS($C$4:$C153,$C153,$F$4:$F153,$F153,$H$4:$H153,$H153)&gt;1,"DUPLICATE ","")&amp;IF(AND(NOT(ISNA(MATCH($C153,Mapping!$B$7:$B$36,0))),$H153&lt;-'Control Panel'!$E$16),"CREDIT ","")&amp;IF(AND(NOT(ISNA(MATCH($C153,Mapping!$B$7:$B$36,0))),COUNTIFS(Budget!$B$4:$B$107,$B153,Budget!$C$4:$C$107,$D153)=0),"NO BUDGET ",""))</f>
        <v/>
      </c>
      <c r="L153" s="83" t="str">
        <f aca="false">IF($K153="","OK",$K153)</f>
        <v>OK</v>
      </c>
      <c r="M153" s="47" t="str">
        <f aca="false">IF(EXACT($L153,$I153),"ok","CHECK")</f>
        <v>ok</v>
      </c>
    </row>
    <row r="154" customFormat="false" ht="12" hidden="false" customHeight="true" outlineLevel="0" collapsed="false">
      <c r="B154" s="50" t="s">
        <v>146</v>
      </c>
      <c r="C154" s="50" t="s">
        <v>247</v>
      </c>
      <c r="D154" s="79" t="s">
        <v>110</v>
      </c>
      <c r="E154" s="80" t="n">
        <v>46201</v>
      </c>
      <c r="F154" s="50" t="s">
        <v>455</v>
      </c>
      <c r="G154" s="81" t="s">
        <v>249</v>
      </c>
      <c r="H154" s="82" t="n">
        <v>2295.42</v>
      </c>
      <c r="I154" s="37" t="s">
        <v>226</v>
      </c>
      <c r="J154" s="37" t="s">
        <v>77</v>
      </c>
      <c r="K154" s="37" t="str">
        <f aca="false">TRIM(IF($B154="UNASSIGNED","NO COST CENTRE ","")&amp;IF(ISNA(MATCH($C154,Mapping!$B$7:$B$36,0)),"UNMAPPED ","")&amp;IF(COUNTIFS($C$4:$C154,$C154,$F$4:$F154,$F154,$H$4:$H154,$H154)&gt;1,"DUPLICATE ","")&amp;IF(AND(NOT(ISNA(MATCH($C154,Mapping!$B$7:$B$36,0))),$H154&lt;-'Control Panel'!$E$16),"CREDIT ","")&amp;IF(AND(NOT(ISNA(MATCH($C154,Mapping!$B$7:$B$36,0))),COUNTIFS(Budget!$B$4:$B$107,$B154,Budget!$C$4:$C$107,$D154)=0),"NO BUDGET ",""))</f>
        <v/>
      </c>
      <c r="L154" s="83" t="str">
        <f aca="false">IF($K154="","OK",$K154)</f>
        <v>OK</v>
      </c>
      <c r="M154" s="47" t="str">
        <f aca="false">IF(EXACT($L154,$I154),"ok","CHECK")</f>
        <v>ok</v>
      </c>
    </row>
    <row r="155" customFormat="false" ht="12" hidden="false" customHeight="true" outlineLevel="0" collapsed="false">
      <c r="B155" s="50" t="s">
        <v>146</v>
      </c>
      <c r="C155" s="50" t="s">
        <v>241</v>
      </c>
      <c r="D155" s="79" t="s">
        <v>111</v>
      </c>
      <c r="E155" s="80" t="n">
        <v>46201</v>
      </c>
      <c r="F155" s="50" t="s">
        <v>456</v>
      </c>
      <c r="G155" s="81" t="s">
        <v>342</v>
      </c>
      <c r="H155" s="82" t="n">
        <v>2638.96</v>
      </c>
      <c r="I155" s="37" t="s">
        <v>226</v>
      </c>
      <c r="J155" s="37" t="s">
        <v>77</v>
      </c>
      <c r="K155" s="37" t="str">
        <f aca="false">TRIM(IF($B155="UNASSIGNED","NO COST CENTRE ","")&amp;IF(ISNA(MATCH($C155,Mapping!$B$7:$B$36,0)),"UNMAPPED ","")&amp;IF(COUNTIFS($C$4:$C155,$C155,$F$4:$F155,$F155,$H$4:$H155,$H155)&gt;1,"DUPLICATE ","")&amp;IF(AND(NOT(ISNA(MATCH($C155,Mapping!$B$7:$B$36,0))),$H155&lt;-'Control Panel'!$E$16),"CREDIT ","")&amp;IF(AND(NOT(ISNA(MATCH($C155,Mapping!$B$7:$B$36,0))),COUNTIFS(Budget!$B$4:$B$107,$B155,Budget!$C$4:$C$107,$D155)=0),"NO BUDGET ",""))</f>
        <v/>
      </c>
      <c r="L155" s="83" t="str">
        <f aca="false">IF($K155="","OK",$K155)</f>
        <v>OK</v>
      </c>
      <c r="M155" s="47" t="str">
        <f aca="false">IF(EXACT($L155,$I155),"ok","CHECK")</f>
        <v>ok</v>
      </c>
    </row>
    <row r="156" customFormat="false" ht="12" hidden="false" customHeight="true" outlineLevel="0" collapsed="false">
      <c r="B156" s="50" t="s">
        <v>146</v>
      </c>
      <c r="C156" s="50" t="s">
        <v>244</v>
      </c>
      <c r="D156" s="79" t="s">
        <v>111</v>
      </c>
      <c r="E156" s="80" t="n">
        <v>46201</v>
      </c>
      <c r="F156" s="50" t="s">
        <v>457</v>
      </c>
      <c r="G156" s="81" t="s">
        <v>291</v>
      </c>
      <c r="H156" s="82" t="n">
        <v>3479.4</v>
      </c>
      <c r="I156" s="37" t="s">
        <v>226</v>
      </c>
      <c r="J156" s="37" t="s">
        <v>77</v>
      </c>
      <c r="K156" s="37" t="str">
        <f aca="false">TRIM(IF($B156="UNASSIGNED","NO COST CENTRE ","")&amp;IF(ISNA(MATCH($C156,Mapping!$B$7:$B$36,0)),"UNMAPPED ","")&amp;IF(COUNTIFS($C$4:$C156,$C156,$F$4:$F156,$F156,$H$4:$H156,$H156)&gt;1,"DUPLICATE ","")&amp;IF(AND(NOT(ISNA(MATCH($C156,Mapping!$B$7:$B$36,0))),$H156&lt;-'Control Panel'!$E$16),"CREDIT ","")&amp;IF(AND(NOT(ISNA(MATCH($C156,Mapping!$B$7:$B$36,0))),COUNTIFS(Budget!$B$4:$B$107,$B156,Budget!$C$4:$C$107,$D156)=0),"NO BUDGET ",""))</f>
        <v/>
      </c>
      <c r="L156" s="83" t="str">
        <f aca="false">IF($K156="","OK",$K156)</f>
        <v>OK</v>
      </c>
      <c r="M156" s="47" t="str">
        <f aca="false">IF(EXACT($L156,$I156),"ok","CHECK")</f>
        <v>ok</v>
      </c>
    </row>
    <row r="157" customFormat="false" ht="12" hidden="false" customHeight="true" outlineLevel="0" collapsed="false">
      <c r="B157" s="50" t="s">
        <v>146</v>
      </c>
      <c r="C157" s="50" t="s">
        <v>223</v>
      </c>
      <c r="D157" s="79" t="s">
        <v>113</v>
      </c>
      <c r="E157" s="80" t="n">
        <v>46201</v>
      </c>
      <c r="F157" s="50" t="s">
        <v>458</v>
      </c>
      <c r="G157" s="81" t="s">
        <v>459</v>
      </c>
      <c r="H157" s="82" t="n">
        <v>2134.76</v>
      </c>
      <c r="I157" s="37" t="s">
        <v>226</v>
      </c>
      <c r="J157" s="37" t="s">
        <v>77</v>
      </c>
      <c r="K157" s="37" t="str">
        <f aca="false">TRIM(IF($B157="UNASSIGNED","NO COST CENTRE ","")&amp;IF(ISNA(MATCH($C157,Mapping!$B$7:$B$36,0)),"UNMAPPED ","")&amp;IF(COUNTIFS($C$4:$C157,$C157,$F$4:$F157,$F157,$H$4:$H157,$H157)&gt;1,"DUPLICATE ","")&amp;IF(AND(NOT(ISNA(MATCH($C157,Mapping!$B$7:$B$36,0))),$H157&lt;-'Control Panel'!$E$16),"CREDIT ","")&amp;IF(AND(NOT(ISNA(MATCH($C157,Mapping!$B$7:$B$36,0))),COUNTIFS(Budget!$B$4:$B$107,$B157,Budget!$C$4:$C$107,$D157)=0),"NO BUDGET ",""))</f>
        <v/>
      </c>
      <c r="L157" s="83" t="str">
        <f aca="false">IF($K157="","OK",$K157)</f>
        <v>OK</v>
      </c>
      <c r="M157" s="47" t="str">
        <f aca="false">IF(EXACT($L157,$I157),"ok","CHECK")</f>
        <v>ok</v>
      </c>
    </row>
    <row r="158" customFormat="false" ht="12" hidden="false" customHeight="true" outlineLevel="0" collapsed="false">
      <c r="B158" s="50" t="s">
        <v>146</v>
      </c>
      <c r="C158" s="50" t="s">
        <v>238</v>
      </c>
      <c r="D158" s="79" t="s">
        <v>110</v>
      </c>
      <c r="E158" s="80" t="n">
        <v>46201</v>
      </c>
      <c r="F158" s="50" t="s">
        <v>460</v>
      </c>
      <c r="G158" s="81" t="s">
        <v>330</v>
      </c>
      <c r="H158" s="82" t="n">
        <v>2533.44</v>
      </c>
      <c r="I158" s="37" t="s">
        <v>226</v>
      </c>
      <c r="J158" s="37" t="s">
        <v>77</v>
      </c>
      <c r="K158" s="37" t="str">
        <f aca="false">TRIM(IF($B158="UNASSIGNED","NO COST CENTRE ","")&amp;IF(ISNA(MATCH($C158,Mapping!$B$7:$B$36,0)),"UNMAPPED ","")&amp;IF(COUNTIFS($C$4:$C158,$C158,$F$4:$F158,$F158,$H$4:$H158,$H158)&gt;1,"DUPLICATE ","")&amp;IF(AND(NOT(ISNA(MATCH($C158,Mapping!$B$7:$B$36,0))),$H158&lt;-'Control Panel'!$E$16),"CREDIT ","")&amp;IF(AND(NOT(ISNA(MATCH($C158,Mapping!$B$7:$B$36,0))),COUNTIFS(Budget!$B$4:$B$107,$B158,Budget!$C$4:$C$107,$D158)=0),"NO BUDGET ",""))</f>
        <v/>
      </c>
      <c r="L158" s="83" t="str">
        <f aca="false">IF($K158="","OK",$K158)</f>
        <v>OK</v>
      </c>
      <c r="M158" s="47" t="str">
        <f aca="false">IF(EXACT($L158,$I158),"ok","CHECK")</f>
        <v>ok</v>
      </c>
    </row>
    <row r="159" customFormat="false" ht="12" hidden="false" customHeight="true" outlineLevel="0" collapsed="false">
      <c r="B159" s="50" t="s">
        <v>146</v>
      </c>
      <c r="C159" s="50" t="s">
        <v>223</v>
      </c>
      <c r="D159" s="79" t="s">
        <v>113</v>
      </c>
      <c r="E159" s="80" t="n">
        <v>46202</v>
      </c>
      <c r="F159" s="50" t="s">
        <v>461</v>
      </c>
      <c r="G159" s="81" t="s">
        <v>410</v>
      </c>
      <c r="H159" s="82" t="n">
        <v>2466.94</v>
      </c>
      <c r="I159" s="37" t="s">
        <v>226</v>
      </c>
      <c r="J159" s="37" t="s">
        <v>77</v>
      </c>
      <c r="K159" s="37" t="str">
        <f aca="false">TRIM(IF($B159="UNASSIGNED","NO COST CENTRE ","")&amp;IF(ISNA(MATCH($C159,Mapping!$B$7:$B$36,0)),"UNMAPPED ","")&amp;IF(COUNTIFS($C$4:$C159,$C159,$F$4:$F159,$F159,$H$4:$H159,$H159)&gt;1,"DUPLICATE ","")&amp;IF(AND(NOT(ISNA(MATCH($C159,Mapping!$B$7:$B$36,0))),$H159&lt;-'Control Panel'!$E$16),"CREDIT ","")&amp;IF(AND(NOT(ISNA(MATCH($C159,Mapping!$B$7:$B$36,0))),COUNTIFS(Budget!$B$4:$B$107,$B159,Budget!$C$4:$C$107,$D159)=0),"NO BUDGET ",""))</f>
        <v/>
      </c>
      <c r="L159" s="83" t="str">
        <f aca="false">IF($K159="","OK",$K159)</f>
        <v>OK</v>
      </c>
      <c r="M159" s="47" t="str">
        <f aca="false">IF(EXACT($L159,$I159),"ok","CHECK")</f>
        <v>ok</v>
      </c>
    </row>
    <row r="160" customFormat="false" ht="12" hidden="false" customHeight="true" outlineLevel="0" collapsed="false">
      <c r="B160" s="50" t="s">
        <v>146</v>
      </c>
      <c r="C160" s="50" t="s">
        <v>247</v>
      </c>
      <c r="D160" s="79" t="s">
        <v>110</v>
      </c>
      <c r="E160" s="80" t="n">
        <v>46202</v>
      </c>
      <c r="F160" s="50" t="s">
        <v>462</v>
      </c>
      <c r="G160" s="81" t="s">
        <v>330</v>
      </c>
      <c r="H160" s="82" t="n">
        <v>1491.35</v>
      </c>
      <c r="I160" s="37" t="s">
        <v>226</v>
      </c>
      <c r="J160" s="37" t="s">
        <v>77</v>
      </c>
      <c r="K160" s="37" t="str">
        <f aca="false">TRIM(IF($B160="UNASSIGNED","NO COST CENTRE ","")&amp;IF(ISNA(MATCH($C160,Mapping!$B$7:$B$36,0)),"UNMAPPED ","")&amp;IF(COUNTIFS($C$4:$C160,$C160,$F$4:$F160,$F160,$H$4:$H160,$H160)&gt;1,"DUPLICATE ","")&amp;IF(AND(NOT(ISNA(MATCH($C160,Mapping!$B$7:$B$36,0))),$H160&lt;-'Control Panel'!$E$16),"CREDIT ","")&amp;IF(AND(NOT(ISNA(MATCH($C160,Mapping!$B$7:$B$36,0))),COUNTIFS(Budget!$B$4:$B$107,$B160,Budget!$C$4:$C$107,$D160)=0),"NO BUDGET ",""))</f>
        <v/>
      </c>
      <c r="L160" s="83" t="str">
        <f aca="false">IF($K160="","OK",$K160)</f>
        <v>OK</v>
      </c>
      <c r="M160" s="47" t="str">
        <f aca="false">IF(EXACT($L160,$I160),"ok","CHECK")</f>
        <v>ok</v>
      </c>
    </row>
    <row r="161" customFormat="false" ht="12" hidden="false" customHeight="true" outlineLevel="0" collapsed="false">
      <c r="B161" s="50" t="s">
        <v>146</v>
      </c>
      <c r="C161" s="50" t="s">
        <v>241</v>
      </c>
      <c r="D161" s="79" t="s">
        <v>111</v>
      </c>
      <c r="E161" s="80" t="n">
        <v>46202</v>
      </c>
      <c r="F161" s="50" t="s">
        <v>463</v>
      </c>
      <c r="G161" s="81" t="s">
        <v>246</v>
      </c>
      <c r="H161" s="82" t="n">
        <v>3362.04</v>
      </c>
      <c r="I161" s="37" t="s">
        <v>226</v>
      </c>
      <c r="J161" s="37" t="s">
        <v>77</v>
      </c>
      <c r="K161" s="37" t="str">
        <f aca="false">TRIM(IF($B161="UNASSIGNED","NO COST CENTRE ","")&amp;IF(ISNA(MATCH($C161,Mapping!$B$7:$B$36,0)),"UNMAPPED ","")&amp;IF(COUNTIFS($C$4:$C161,$C161,$F$4:$F161,$F161,$H$4:$H161,$H161)&gt;1,"DUPLICATE ","")&amp;IF(AND(NOT(ISNA(MATCH($C161,Mapping!$B$7:$B$36,0))),$H161&lt;-'Control Panel'!$E$16),"CREDIT ","")&amp;IF(AND(NOT(ISNA(MATCH($C161,Mapping!$B$7:$B$36,0))),COUNTIFS(Budget!$B$4:$B$107,$B161,Budget!$C$4:$C$107,$D161)=0),"NO BUDGET ",""))</f>
        <v/>
      </c>
      <c r="L161" s="83" t="str">
        <f aca="false">IF($K161="","OK",$K161)</f>
        <v>OK</v>
      </c>
      <c r="M161" s="47" t="str">
        <f aca="false">IF(EXACT($L161,$I161),"ok","CHECK")</f>
        <v>ok</v>
      </c>
    </row>
    <row r="162" customFormat="false" ht="12" hidden="false" customHeight="true" outlineLevel="0" collapsed="false">
      <c r="B162" s="50" t="s">
        <v>147</v>
      </c>
      <c r="C162" s="50" t="s">
        <v>241</v>
      </c>
      <c r="D162" s="79" t="s">
        <v>111</v>
      </c>
      <c r="E162" s="80" t="n">
        <v>46174</v>
      </c>
      <c r="F162" s="50" t="s">
        <v>464</v>
      </c>
      <c r="G162" s="81" t="s">
        <v>360</v>
      </c>
      <c r="H162" s="82" t="n">
        <v>1916.44</v>
      </c>
      <c r="I162" s="37" t="s">
        <v>226</v>
      </c>
      <c r="J162" s="37" t="s">
        <v>77</v>
      </c>
      <c r="K162" s="37" t="str">
        <f aca="false">TRIM(IF($B162="UNASSIGNED","NO COST CENTRE ","")&amp;IF(ISNA(MATCH($C162,Mapping!$B$7:$B$36,0)),"UNMAPPED ","")&amp;IF(COUNTIFS($C$4:$C162,$C162,$F$4:$F162,$F162,$H$4:$H162,$H162)&gt;1,"DUPLICATE ","")&amp;IF(AND(NOT(ISNA(MATCH($C162,Mapping!$B$7:$B$36,0))),$H162&lt;-'Control Panel'!$E$16),"CREDIT ","")&amp;IF(AND(NOT(ISNA(MATCH($C162,Mapping!$B$7:$B$36,0))),COUNTIFS(Budget!$B$4:$B$107,$B162,Budget!$C$4:$C$107,$D162)=0),"NO BUDGET ",""))</f>
        <v/>
      </c>
      <c r="L162" s="83" t="str">
        <f aca="false">IF($K162="","OK",$K162)</f>
        <v>OK</v>
      </c>
      <c r="M162" s="47" t="str">
        <f aca="false">IF(EXACT($L162,$I162),"ok","CHECK")</f>
        <v>ok</v>
      </c>
    </row>
    <row r="163" customFormat="false" ht="12" hidden="false" customHeight="true" outlineLevel="0" collapsed="false">
      <c r="B163" s="50" t="s">
        <v>147</v>
      </c>
      <c r="C163" s="50" t="s">
        <v>230</v>
      </c>
      <c r="D163" s="79" t="s">
        <v>115</v>
      </c>
      <c r="E163" s="80" t="n">
        <v>46174</v>
      </c>
      <c r="F163" s="50" t="s">
        <v>465</v>
      </c>
      <c r="G163" s="81" t="s">
        <v>252</v>
      </c>
      <c r="H163" s="82" t="n">
        <v>1024.21</v>
      </c>
      <c r="I163" s="37" t="s">
        <v>226</v>
      </c>
      <c r="J163" s="37" t="s">
        <v>77</v>
      </c>
      <c r="K163" s="37" t="str">
        <f aca="false">TRIM(IF($B163="UNASSIGNED","NO COST CENTRE ","")&amp;IF(ISNA(MATCH($C163,Mapping!$B$7:$B$36,0)),"UNMAPPED ","")&amp;IF(COUNTIFS($C$4:$C163,$C163,$F$4:$F163,$F163,$H$4:$H163,$H163)&gt;1,"DUPLICATE ","")&amp;IF(AND(NOT(ISNA(MATCH($C163,Mapping!$B$7:$B$36,0))),$H163&lt;-'Control Panel'!$E$16),"CREDIT ","")&amp;IF(AND(NOT(ISNA(MATCH($C163,Mapping!$B$7:$B$36,0))),COUNTIFS(Budget!$B$4:$B$107,$B163,Budget!$C$4:$C$107,$D163)=0),"NO BUDGET ",""))</f>
        <v/>
      </c>
      <c r="L163" s="83" t="str">
        <f aca="false">IF($K163="","OK",$K163)</f>
        <v>OK</v>
      </c>
      <c r="M163" s="47" t="str">
        <f aca="false">IF(EXACT($L163,$I163),"ok","CHECK")</f>
        <v>ok</v>
      </c>
    </row>
    <row r="164" customFormat="false" ht="12" hidden="false" customHeight="true" outlineLevel="0" collapsed="false">
      <c r="B164" s="50" t="s">
        <v>147</v>
      </c>
      <c r="C164" s="50" t="s">
        <v>241</v>
      </c>
      <c r="D164" s="79" t="s">
        <v>111</v>
      </c>
      <c r="E164" s="80" t="n">
        <v>46175</v>
      </c>
      <c r="F164" s="50" t="s">
        <v>466</v>
      </c>
      <c r="G164" s="81" t="s">
        <v>360</v>
      </c>
      <c r="H164" s="82" t="n">
        <v>1393.58</v>
      </c>
      <c r="I164" s="37" t="s">
        <v>226</v>
      </c>
      <c r="J164" s="37" t="s">
        <v>77</v>
      </c>
      <c r="K164" s="37" t="str">
        <f aca="false">TRIM(IF($B164="UNASSIGNED","NO COST CENTRE ","")&amp;IF(ISNA(MATCH($C164,Mapping!$B$7:$B$36,0)),"UNMAPPED ","")&amp;IF(COUNTIFS($C$4:$C164,$C164,$F$4:$F164,$F164,$H$4:$H164,$H164)&gt;1,"DUPLICATE ","")&amp;IF(AND(NOT(ISNA(MATCH($C164,Mapping!$B$7:$B$36,0))),$H164&lt;-'Control Panel'!$E$16),"CREDIT ","")&amp;IF(AND(NOT(ISNA(MATCH($C164,Mapping!$B$7:$B$36,0))),COUNTIFS(Budget!$B$4:$B$107,$B164,Budget!$C$4:$C$107,$D164)=0),"NO BUDGET ",""))</f>
        <v/>
      </c>
      <c r="L164" s="83" t="str">
        <f aca="false">IF($K164="","OK",$K164)</f>
        <v>OK</v>
      </c>
      <c r="M164" s="47" t="str">
        <f aca="false">IF(EXACT($L164,$I164),"ok","CHECK")</f>
        <v>ok</v>
      </c>
    </row>
    <row r="165" customFormat="false" ht="12" hidden="false" customHeight="true" outlineLevel="0" collapsed="false">
      <c r="B165" s="50" t="s">
        <v>147</v>
      </c>
      <c r="C165" s="50" t="s">
        <v>238</v>
      </c>
      <c r="D165" s="79" t="s">
        <v>110</v>
      </c>
      <c r="E165" s="80" t="n">
        <v>46175</v>
      </c>
      <c r="F165" s="50" t="s">
        <v>467</v>
      </c>
      <c r="G165" s="81" t="s">
        <v>297</v>
      </c>
      <c r="H165" s="82" t="n">
        <v>1134.11</v>
      </c>
      <c r="I165" s="37" t="s">
        <v>226</v>
      </c>
      <c r="J165" s="37" t="s">
        <v>77</v>
      </c>
      <c r="K165" s="37" t="str">
        <f aca="false">TRIM(IF($B165="UNASSIGNED","NO COST CENTRE ","")&amp;IF(ISNA(MATCH($C165,Mapping!$B$7:$B$36,0)),"UNMAPPED ","")&amp;IF(COUNTIFS($C$4:$C165,$C165,$F$4:$F165,$F165,$H$4:$H165,$H165)&gt;1,"DUPLICATE ","")&amp;IF(AND(NOT(ISNA(MATCH($C165,Mapping!$B$7:$B$36,0))),$H165&lt;-'Control Panel'!$E$16),"CREDIT ","")&amp;IF(AND(NOT(ISNA(MATCH($C165,Mapping!$B$7:$B$36,0))),COUNTIFS(Budget!$B$4:$B$107,$B165,Budget!$C$4:$C$107,$D165)=0),"NO BUDGET ",""))</f>
        <v/>
      </c>
      <c r="L165" s="83" t="str">
        <f aca="false">IF($K165="","OK",$K165)</f>
        <v>OK</v>
      </c>
      <c r="M165" s="47" t="str">
        <f aca="false">IF(EXACT($L165,$I165),"ok","CHECK")</f>
        <v>ok</v>
      </c>
    </row>
    <row r="166" customFormat="false" ht="12" hidden="false" customHeight="true" outlineLevel="0" collapsed="false">
      <c r="B166" s="50" t="s">
        <v>147</v>
      </c>
      <c r="C166" s="50" t="s">
        <v>266</v>
      </c>
      <c r="D166" s="79" t="s">
        <v>109</v>
      </c>
      <c r="E166" s="80" t="n">
        <v>46175</v>
      </c>
      <c r="F166" s="50" t="s">
        <v>468</v>
      </c>
      <c r="G166" s="81" t="s">
        <v>310</v>
      </c>
      <c r="H166" s="82" t="n">
        <v>1314.47</v>
      </c>
      <c r="I166" s="37" t="s">
        <v>226</v>
      </c>
      <c r="J166" s="37" t="s">
        <v>77</v>
      </c>
      <c r="K166" s="37" t="str">
        <f aca="false">TRIM(IF($B166="UNASSIGNED","NO COST CENTRE ","")&amp;IF(ISNA(MATCH($C166,Mapping!$B$7:$B$36,0)),"UNMAPPED ","")&amp;IF(COUNTIFS($C$4:$C166,$C166,$F$4:$F166,$F166,$H$4:$H166,$H166)&gt;1,"DUPLICATE ","")&amp;IF(AND(NOT(ISNA(MATCH($C166,Mapping!$B$7:$B$36,0))),$H166&lt;-'Control Panel'!$E$16),"CREDIT ","")&amp;IF(AND(NOT(ISNA(MATCH($C166,Mapping!$B$7:$B$36,0))),COUNTIFS(Budget!$B$4:$B$107,$B166,Budget!$C$4:$C$107,$D166)=0),"NO BUDGET ",""))</f>
        <v/>
      </c>
      <c r="L166" s="83" t="str">
        <f aca="false">IF($K166="","OK",$K166)</f>
        <v>OK</v>
      </c>
      <c r="M166" s="47" t="str">
        <f aca="false">IF(EXACT($L166,$I166),"ok","CHECK")</f>
        <v>ok</v>
      </c>
    </row>
    <row r="167" customFormat="false" ht="12" hidden="false" customHeight="true" outlineLevel="0" collapsed="false">
      <c r="B167" s="50" t="s">
        <v>147</v>
      </c>
      <c r="C167" s="50" t="s">
        <v>238</v>
      </c>
      <c r="D167" s="79" t="s">
        <v>110</v>
      </c>
      <c r="E167" s="80" t="n">
        <v>46175</v>
      </c>
      <c r="F167" s="50" t="s">
        <v>469</v>
      </c>
      <c r="G167" s="81" t="s">
        <v>249</v>
      </c>
      <c r="H167" s="82" t="n">
        <v>1163.14</v>
      </c>
      <c r="I167" s="37" t="s">
        <v>226</v>
      </c>
      <c r="J167" s="37" t="s">
        <v>77</v>
      </c>
      <c r="K167" s="37" t="str">
        <f aca="false">TRIM(IF($B167="UNASSIGNED","NO COST CENTRE ","")&amp;IF(ISNA(MATCH($C167,Mapping!$B$7:$B$36,0)),"UNMAPPED ","")&amp;IF(COUNTIFS($C$4:$C167,$C167,$F$4:$F167,$F167,$H$4:$H167,$H167)&gt;1,"DUPLICATE ","")&amp;IF(AND(NOT(ISNA(MATCH($C167,Mapping!$B$7:$B$36,0))),$H167&lt;-'Control Panel'!$E$16),"CREDIT ","")&amp;IF(AND(NOT(ISNA(MATCH($C167,Mapping!$B$7:$B$36,0))),COUNTIFS(Budget!$B$4:$B$107,$B167,Budget!$C$4:$C$107,$D167)=0),"NO BUDGET ",""))</f>
        <v/>
      </c>
      <c r="L167" s="83" t="str">
        <f aca="false">IF($K167="","OK",$K167)</f>
        <v>OK</v>
      </c>
      <c r="M167" s="47" t="str">
        <f aca="false">IF(EXACT($L167,$I167),"ok","CHECK")</f>
        <v>ok</v>
      </c>
    </row>
    <row r="168" customFormat="false" ht="12" hidden="false" customHeight="true" outlineLevel="0" collapsed="false">
      <c r="B168" s="50" t="s">
        <v>147</v>
      </c>
      <c r="C168" s="50" t="s">
        <v>289</v>
      </c>
      <c r="D168" s="79" t="s">
        <v>111</v>
      </c>
      <c r="E168" s="80" t="n">
        <v>46176</v>
      </c>
      <c r="F168" s="50" t="s">
        <v>470</v>
      </c>
      <c r="G168" s="81" t="s">
        <v>291</v>
      </c>
      <c r="H168" s="82" t="n">
        <v>2735.9</v>
      </c>
      <c r="I168" s="37" t="s">
        <v>226</v>
      </c>
      <c r="J168" s="37" t="s">
        <v>77</v>
      </c>
      <c r="K168" s="37" t="str">
        <f aca="false">TRIM(IF($B168="UNASSIGNED","NO COST CENTRE ","")&amp;IF(ISNA(MATCH($C168,Mapping!$B$7:$B$36,0)),"UNMAPPED ","")&amp;IF(COUNTIFS($C$4:$C168,$C168,$F$4:$F168,$F168,$H$4:$H168,$H168)&gt;1,"DUPLICATE ","")&amp;IF(AND(NOT(ISNA(MATCH($C168,Mapping!$B$7:$B$36,0))),$H168&lt;-'Control Panel'!$E$16),"CREDIT ","")&amp;IF(AND(NOT(ISNA(MATCH($C168,Mapping!$B$7:$B$36,0))),COUNTIFS(Budget!$B$4:$B$107,$B168,Budget!$C$4:$C$107,$D168)=0),"NO BUDGET ",""))</f>
        <v/>
      </c>
      <c r="L168" s="83" t="str">
        <f aca="false">IF($K168="","OK",$K168)</f>
        <v>OK</v>
      </c>
      <c r="M168" s="47" t="str">
        <f aca="false">IF(EXACT($L168,$I168),"ok","CHECK")</f>
        <v>ok</v>
      </c>
    </row>
    <row r="169" customFormat="false" ht="12" hidden="false" customHeight="true" outlineLevel="0" collapsed="false">
      <c r="B169" s="50" t="s">
        <v>147</v>
      </c>
      <c r="C169" s="50" t="s">
        <v>244</v>
      </c>
      <c r="D169" s="79" t="s">
        <v>111</v>
      </c>
      <c r="E169" s="80" t="n">
        <v>46176</v>
      </c>
      <c r="F169" s="50" t="s">
        <v>471</v>
      </c>
      <c r="G169" s="81" t="s">
        <v>360</v>
      </c>
      <c r="H169" s="82" t="n">
        <v>2644.87</v>
      </c>
      <c r="I169" s="37" t="s">
        <v>226</v>
      </c>
      <c r="J169" s="37" t="s">
        <v>77</v>
      </c>
      <c r="K169" s="37" t="str">
        <f aca="false">TRIM(IF($B169="UNASSIGNED","NO COST CENTRE ","")&amp;IF(ISNA(MATCH($C169,Mapping!$B$7:$B$36,0)),"UNMAPPED ","")&amp;IF(COUNTIFS($C$4:$C169,$C169,$F$4:$F169,$F169,$H$4:$H169,$H169)&gt;1,"DUPLICATE ","")&amp;IF(AND(NOT(ISNA(MATCH($C169,Mapping!$B$7:$B$36,0))),$H169&lt;-'Control Panel'!$E$16),"CREDIT ","")&amp;IF(AND(NOT(ISNA(MATCH($C169,Mapping!$B$7:$B$36,0))),COUNTIFS(Budget!$B$4:$B$107,$B169,Budget!$C$4:$C$107,$D169)=0),"NO BUDGET ",""))</f>
        <v/>
      </c>
      <c r="L169" s="83" t="str">
        <f aca="false">IF($K169="","OK",$K169)</f>
        <v>OK</v>
      </c>
      <c r="M169" s="47" t="str">
        <f aca="false">IF(EXACT($L169,$I169),"ok","CHECK")</f>
        <v>ok</v>
      </c>
    </row>
    <row r="170" customFormat="false" ht="12" hidden="false" customHeight="true" outlineLevel="0" collapsed="false">
      <c r="B170" s="50" t="s">
        <v>147</v>
      </c>
      <c r="C170" s="50" t="s">
        <v>238</v>
      </c>
      <c r="D170" s="79" t="s">
        <v>110</v>
      </c>
      <c r="E170" s="80" t="n">
        <v>46176</v>
      </c>
      <c r="F170" s="50" t="s">
        <v>472</v>
      </c>
      <c r="G170" s="81" t="s">
        <v>297</v>
      </c>
      <c r="H170" s="82" t="n">
        <v>1071.63</v>
      </c>
      <c r="I170" s="37" t="s">
        <v>226</v>
      </c>
      <c r="J170" s="37" t="s">
        <v>77</v>
      </c>
      <c r="K170" s="37" t="str">
        <f aca="false">TRIM(IF($B170="UNASSIGNED","NO COST CENTRE ","")&amp;IF(ISNA(MATCH($C170,Mapping!$B$7:$B$36,0)),"UNMAPPED ","")&amp;IF(COUNTIFS($C$4:$C170,$C170,$F$4:$F170,$F170,$H$4:$H170,$H170)&gt;1,"DUPLICATE ","")&amp;IF(AND(NOT(ISNA(MATCH($C170,Mapping!$B$7:$B$36,0))),$H170&lt;-'Control Panel'!$E$16),"CREDIT ","")&amp;IF(AND(NOT(ISNA(MATCH($C170,Mapping!$B$7:$B$36,0))),COUNTIFS(Budget!$B$4:$B$107,$B170,Budget!$C$4:$C$107,$D170)=0),"NO BUDGET ",""))</f>
        <v/>
      </c>
      <c r="L170" s="83" t="str">
        <f aca="false">IF($K170="","OK",$K170)</f>
        <v>OK</v>
      </c>
      <c r="M170" s="47" t="str">
        <f aca="false">IF(EXACT($L170,$I170),"ok","CHECK")</f>
        <v>ok</v>
      </c>
    </row>
    <row r="171" customFormat="false" ht="12" hidden="false" customHeight="true" outlineLevel="0" collapsed="false">
      <c r="B171" s="50" t="s">
        <v>147</v>
      </c>
      <c r="C171" s="50" t="s">
        <v>337</v>
      </c>
      <c r="D171" s="79" t="s">
        <v>109</v>
      </c>
      <c r="E171" s="80" t="n">
        <v>46176</v>
      </c>
      <c r="F171" s="50" t="s">
        <v>473</v>
      </c>
      <c r="G171" s="81" t="s">
        <v>299</v>
      </c>
      <c r="H171" s="82" t="n">
        <v>1618.03</v>
      </c>
      <c r="I171" s="37" t="s">
        <v>226</v>
      </c>
      <c r="J171" s="37" t="s">
        <v>77</v>
      </c>
      <c r="K171" s="37" t="str">
        <f aca="false">TRIM(IF($B171="UNASSIGNED","NO COST CENTRE ","")&amp;IF(ISNA(MATCH($C171,Mapping!$B$7:$B$36,0)),"UNMAPPED ","")&amp;IF(COUNTIFS($C$4:$C171,$C171,$F$4:$F171,$F171,$H$4:$H171,$H171)&gt;1,"DUPLICATE ","")&amp;IF(AND(NOT(ISNA(MATCH($C171,Mapping!$B$7:$B$36,0))),$H171&lt;-'Control Panel'!$E$16),"CREDIT ","")&amp;IF(AND(NOT(ISNA(MATCH($C171,Mapping!$B$7:$B$36,0))),COUNTIFS(Budget!$B$4:$B$107,$B171,Budget!$C$4:$C$107,$D171)=0),"NO BUDGET ",""))</f>
        <v/>
      </c>
      <c r="L171" s="83" t="str">
        <f aca="false">IF($K171="","OK",$K171)</f>
        <v>OK</v>
      </c>
      <c r="M171" s="47" t="str">
        <f aca="false">IF(EXACT($L171,$I171),"ok","CHECK")</f>
        <v>ok</v>
      </c>
    </row>
    <row r="172" customFormat="false" ht="12" hidden="false" customHeight="true" outlineLevel="0" collapsed="false">
      <c r="B172" s="50" t="s">
        <v>147</v>
      </c>
      <c r="C172" s="50" t="s">
        <v>337</v>
      </c>
      <c r="D172" s="79" t="s">
        <v>109</v>
      </c>
      <c r="E172" s="80" t="n">
        <v>46177</v>
      </c>
      <c r="F172" s="50" t="s">
        <v>474</v>
      </c>
      <c r="G172" s="81" t="s">
        <v>354</v>
      </c>
      <c r="H172" s="82" t="n">
        <v>1848.08</v>
      </c>
      <c r="I172" s="37" t="s">
        <v>226</v>
      </c>
      <c r="J172" s="37" t="s">
        <v>77</v>
      </c>
      <c r="K172" s="37" t="str">
        <f aca="false">TRIM(IF($B172="UNASSIGNED","NO COST CENTRE ","")&amp;IF(ISNA(MATCH($C172,Mapping!$B$7:$B$36,0)),"UNMAPPED ","")&amp;IF(COUNTIFS($C$4:$C172,$C172,$F$4:$F172,$F172,$H$4:$H172,$H172)&gt;1,"DUPLICATE ","")&amp;IF(AND(NOT(ISNA(MATCH($C172,Mapping!$B$7:$B$36,0))),$H172&lt;-'Control Panel'!$E$16),"CREDIT ","")&amp;IF(AND(NOT(ISNA(MATCH($C172,Mapping!$B$7:$B$36,0))),COUNTIFS(Budget!$B$4:$B$107,$B172,Budget!$C$4:$C$107,$D172)=0),"NO BUDGET ",""))</f>
        <v/>
      </c>
      <c r="L172" s="83" t="str">
        <f aca="false">IF($K172="","OK",$K172)</f>
        <v>OK</v>
      </c>
      <c r="M172" s="47" t="str">
        <f aca="false">IF(EXACT($L172,$I172),"ok","CHECK")</f>
        <v>ok</v>
      </c>
    </row>
    <row r="173" customFormat="false" ht="12" hidden="false" customHeight="true" outlineLevel="0" collapsed="false">
      <c r="B173" s="50" t="s">
        <v>147</v>
      </c>
      <c r="C173" s="50" t="s">
        <v>255</v>
      </c>
      <c r="D173" s="79" t="s">
        <v>120</v>
      </c>
      <c r="E173" s="80" t="n">
        <v>46177</v>
      </c>
      <c r="F173" s="50" t="s">
        <v>475</v>
      </c>
      <c r="G173" s="81" t="s">
        <v>476</v>
      </c>
      <c r="H173" s="82" t="n">
        <v>291.96</v>
      </c>
      <c r="I173" s="37" t="s">
        <v>226</v>
      </c>
      <c r="J173" s="37" t="s">
        <v>77</v>
      </c>
      <c r="K173" s="37" t="str">
        <f aca="false">TRIM(IF($B173="UNASSIGNED","NO COST CENTRE ","")&amp;IF(ISNA(MATCH($C173,Mapping!$B$7:$B$36,0)),"UNMAPPED ","")&amp;IF(COUNTIFS($C$4:$C173,$C173,$F$4:$F173,$F173,$H$4:$H173,$H173)&gt;1,"DUPLICATE ","")&amp;IF(AND(NOT(ISNA(MATCH($C173,Mapping!$B$7:$B$36,0))),$H173&lt;-'Control Panel'!$E$16),"CREDIT ","")&amp;IF(AND(NOT(ISNA(MATCH($C173,Mapping!$B$7:$B$36,0))),COUNTIFS(Budget!$B$4:$B$107,$B173,Budget!$C$4:$C$107,$D173)=0),"NO BUDGET ",""))</f>
        <v/>
      </c>
      <c r="L173" s="83" t="str">
        <f aca="false">IF($K173="","OK",$K173)</f>
        <v>OK</v>
      </c>
      <c r="M173" s="47" t="str">
        <f aca="false">IF(EXACT($L173,$I173),"ok","CHECK")</f>
        <v>ok</v>
      </c>
    </row>
    <row r="174" customFormat="false" ht="12" hidden="false" customHeight="true" outlineLevel="0" collapsed="false">
      <c r="B174" s="50" t="s">
        <v>147</v>
      </c>
      <c r="C174" s="50" t="s">
        <v>250</v>
      </c>
      <c r="D174" s="79" t="s">
        <v>115</v>
      </c>
      <c r="E174" s="80" t="n">
        <v>46177</v>
      </c>
      <c r="F174" s="50" t="s">
        <v>477</v>
      </c>
      <c r="G174" s="81" t="s">
        <v>254</v>
      </c>
      <c r="H174" s="82" t="n">
        <v>1502.67</v>
      </c>
      <c r="I174" s="37" t="s">
        <v>226</v>
      </c>
      <c r="J174" s="37" t="s">
        <v>77</v>
      </c>
      <c r="K174" s="37" t="str">
        <f aca="false">TRIM(IF($B174="UNASSIGNED","NO COST CENTRE ","")&amp;IF(ISNA(MATCH($C174,Mapping!$B$7:$B$36,0)),"UNMAPPED ","")&amp;IF(COUNTIFS($C$4:$C174,$C174,$F$4:$F174,$F174,$H$4:$H174,$H174)&gt;1,"DUPLICATE ","")&amp;IF(AND(NOT(ISNA(MATCH($C174,Mapping!$B$7:$B$36,0))),$H174&lt;-'Control Panel'!$E$16),"CREDIT ","")&amp;IF(AND(NOT(ISNA(MATCH($C174,Mapping!$B$7:$B$36,0))),COUNTIFS(Budget!$B$4:$B$107,$B174,Budget!$C$4:$C$107,$D174)=0),"NO BUDGET ",""))</f>
        <v/>
      </c>
      <c r="L174" s="83" t="str">
        <f aca="false">IF($K174="","OK",$K174)</f>
        <v>OK</v>
      </c>
      <c r="M174" s="47" t="str">
        <f aca="false">IF(EXACT($L174,$I174),"ok","CHECK")</f>
        <v>ok</v>
      </c>
    </row>
    <row r="175" customFormat="false" ht="12" hidden="false" customHeight="true" outlineLevel="0" collapsed="false">
      <c r="B175" s="50" t="s">
        <v>147</v>
      </c>
      <c r="C175" s="50" t="s">
        <v>266</v>
      </c>
      <c r="D175" s="79" t="s">
        <v>109</v>
      </c>
      <c r="E175" s="80" t="n">
        <v>46179</v>
      </c>
      <c r="F175" s="50" t="s">
        <v>478</v>
      </c>
      <c r="G175" s="81" t="s">
        <v>310</v>
      </c>
      <c r="H175" s="82" t="n">
        <v>1462.29</v>
      </c>
      <c r="I175" s="37" t="s">
        <v>226</v>
      </c>
      <c r="J175" s="37" t="s">
        <v>77</v>
      </c>
      <c r="K175" s="37" t="str">
        <f aca="false">TRIM(IF($B175="UNASSIGNED","NO COST CENTRE ","")&amp;IF(ISNA(MATCH($C175,Mapping!$B$7:$B$36,0)),"UNMAPPED ","")&amp;IF(COUNTIFS($C$4:$C175,$C175,$F$4:$F175,$F175,$H$4:$H175,$H175)&gt;1,"DUPLICATE ","")&amp;IF(AND(NOT(ISNA(MATCH($C175,Mapping!$B$7:$B$36,0))),$H175&lt;-'Control Panel'!$E$16),"CREDIT ","")&amp;IF(AND(NOT(ISNA(MATCH($C175,Mapping!$B$7:$B$36,0))),COUNTIFS(Budget!$B$4:$B$107,$B175,Budget!$C$4:$C$107,$D175)=0),"NO BUDGET ",""))</f>
        <v/>
      </c>
      <c r="L175" s="83" t="str">
        <f aca="false">IF($K175="","OK",$K175)</f>
        <v>OK</v>
      </c>
      <c r="M175" s="47" t="str">
        <f aca="false">IF(EXACT($L175,$I175),"ok","CHECK")</f>
        <v>ok</v>
      </c>
    </row>
    <row r="176" customFormat="false" ht="12" hidden="false" customHeight="true" outlineLevel="0" collapsed="false">
      <c r="B176" s="50" t="s">
        <v>147</v>
      </c>
      <c r="C176" s="50" t="s">
        <v>250</v>
      </c>
      <c r="D176" s="79" t="s">
        <v>115</v>
      </c>
      <c r="E176" s="80" t="n">
        <v>46181</v>
      </c>
      <c r="F176" s="50" t="s">
        <v>479</v>
      </c>
      <c r="G176" s="81" t="s">
        <v>328</v>
      </c>
      <c r="H176" s="82" t="n">
        <v>863.05</v>
      </c>
      <c r="I176" s="37" t="s">
        <v>226</v>
      </c>
      <c r="J176" s="37" t="s">
        <v>77</v>
      </c>
      <c r="K176" s="37" t="str">
        <f aca="false">TRIM(IF($B176="UNASSIGNED","NO COST CENTRE ","")&amp;IF(ISNA(MATCH($C176,Mapping!$B$7:$B$36,0)),"UNMAPPED ","")&amp;IF(COUNTIFS($C$4:$C176,$C176,$F$4:$F176,$F176,$H$4:$H176,$H176)&gt;1,"DUPLICATE ","")&amp;IF(AND(NOT(ISNA(MATCH($C176,Mapping!$B$7:$B$36,0))),$H176&lt;-'Control Panel'!$E$16),"CREDIT ","")&amp;IF(AND(NOT(ISNA(MATCH($C176,Mapping!$B$7:$B$36,0))),COUNTIFS(Budget!$B$4:$B$107,$B176,Budget!$C$4:$C$107,$D176)=0),"NO BUDGET ",""))</f>
        <v/>
      </c>
      <c r="L176" s="83" t="str">
        <f aca="false">IF($K176="","OK",$K176)</f>
        <v>OK</v>
      </c>
      <c r="M176" s="47" t="str">
        <f aca="false">IF(EXACT($L176,$I176),"ok","CHECK")</f>
        <v>ok</v>
      </c>
    </row>
    <row r="177" customFormat="false" ht="12" hidden="false" customHeight="true" outlineLevel="0" collapsed="false">
      <c r="B177" s="50" t="s">
        <v>147</v>
      </c>
      <c r="C177" s="50" t="s">
        <v>223</v>
      </c>
      <c r="D177" s="79" t="s">
        <v>113</v>
      </c>
      <c r="E177" s="80" t="n">
        <v>46181</v>
      </c>
      <c r="F177" s="50" t="s">
        <v>480</v>
      </c>
      <c r="G177" s="81" t="s">
        <v>322</v>
      </c>
      <c r="H177" s="82" t="n">
        <v>1643.55</v>
      </c>
      <c r="I177" s="37" t="s">
        <v>226</v>
      </c>
      <c r="J177" s="37" t="s">
        <v>77</v>
      </c>
      <c r="K177" s="37" t="str">
        <f aca="false">TRIM(IF($B177="UNASSIGNED","NO COST CENTRE ","")&amp;IF(ISNA(MATCH($C177,Mapping!$B$7:$B$36,0)),"UNMAPPED ","")&amp;IF(COUNTIFS($C$4:$C177,$C177,$F$4:$F177,$F177,$H$4:$H177,$H177)&gt;1,"DUPLICATE ","")&amp;IF(AND(NOT(ISNA(MATCH($C177,Mapping!$B$7:$B$36,0))),$H177&lt;-'Control Panel'!$E$16),"CREDIT ","")&amp;IF(AND(NOT(ISNA(MATCH($C177,Mapping!$B$7:$B$36,0))),COUNTIFS(Budget!$B$4:$B$107,$B177,Budget!$C$4:$C$107,$D177)=0),"NO BUDGET ",""))</f>
        <v/>
      </c>
      <c r="L177" s="83" t="str">
        <f aca="false">IF($K177="","OK",$K177)</f>
        <v>OK</v>
      </c>
      <c r="M177" s="47" t="str">
        <f aca="false">IF(EXACT($L177,$I177),"ok","CHECK")</f>
        <v>ok</v>
      </c>
    </row>
    <row r="178" customFormat="false" ht="12" hidden="false" customHeight="true" outlineLevel="0" collapsed="false">
      <c r="B178" s="50" t="s">
        <v>147</v>
      </c>
      <c r="C178" s="50" t="s">
        <v>250</v>
      </c>
      <c r="D178" s="79" t="s">
        <v>115</v>
      </c>
      <c r="E178" s="80" t="n">
        <v>46182</v>
      </c>
      <c r="F178" s="50" t="s">
        <v>481</v>
      </c>
      <c r="G178" s="81" t="s">
        <v>340</v>
      </c>
      <c r="H178" s="82" t="n">
        <v>2090.26</v>
      </c>
      <c r="I178" s="37" t="s">
        <v>226</v>
      </c>
      <c r="J178" s="37" t="s">
        <v>77</v>
      </c>
      <c r="K178" s="37" t="str">
        <f aca="false">TRIM(IF($B178="UNASSIGNED","NO COST CENTRE ","")&amp;IF(ISNA(MATCH($C178,Mapping!$B$7:$B$36,0)),"UNMAPPED ","")&amp;IF(COUNTIFS($C$4:$C178,$C178,$F$4:$F178,$F178,$H$4:$H178,$H178)&gt;1,"DUPLICATE ","")&amp;IF(AND(NOT(ISNA(MATCH($C178,Mapping!$B$7:$B$36,0))),$H178&lt;-'Control Panel'!$E$16),"CREDIT ","")&amp;IF(AND(NOT(ISNA(MATCH($C178,Mapping!$B$7:$B$36,0))),COUNTIFS(Budget!$B$4:$B$107,$B178,Budget!$C$4:$C$107,$D178)=0),"NO BUDGET ",""))</f>
        <v/>
      </c>
      <c r="L178" s="83" t="str">
        <f aca="false">IF($K178="","OK",$K178)</f>
        <v>OK</v>
      </c>
      <c r="M178" s="47" t="str">
        <f aca="false">IF(EXACT($L178,$I178),"ok","CHECK")</f>
        <v>ok</v>
      </c>
    </row>
    <row r="179" customFormat="false" ht="12" hidden="false" customHeight="true" outlineLevel="0" collapsed="false">
      <c r="B179" s="50" t="s">
        <v>147</v>
      </c>
      <c r="C179" s="50" t="s">
        <v>241</v>
      </c>
      <c r="D179" s="79" t="s">
        <v>111</v>
      </c>
      <c r="E179" s="80" t="n">
        <v>46182</v>
      </c>
      <c r="F179" s="50" t="s">
        <v>482</v>
      </c>
      <c r="G179" s="81" t="s">
        <v>342</v>
      </c>
      <c r="H179" s="82" t="n">
        <v>1277.52</v>
      </c>
      <c r="I179" s="37" t="s">
        <v>226</v>
      </c>
      <c r="J179" s="37" t="s">
        <v>77</v>
      </c>
      <c r="K179" s="37" t="str">
        <f aca="false">TRIM(IF($B179="UNASSIGNED","NO COST CENTRE ","")&amp;IF(ISNA(MATCH($C179,Mapping!$B$7:$B$36,0)),"UNMAPPED ","")&amp;IF(COUNTIFS($C$4:$C179,$C179,$F$4:$F179,$F179,$H$4:$H179,$H179)&gt;1,"DUPLICATE ","")&amp;IF(AND(NOT(ISNA(MATCH($C179,Mapping!$B$7:$B$36,0))),$H179&lt;-'Control Panel'!$E$16),"CREDIT ","")&amp;IF(AND(NOT(ISNA(MATCH($C179,Mapping!$B$7:$B$36,0))),COUNTIFS(Budget!$B$4:$B$107,$B179,Budget!$C$4:$C$107,$D179)=0),"NO BUDGET ",""))</f>
        <v/>
      </c>
      <c r="L179" s="83" t="str">
        <f aca="false">IF($K179="","OK",$K179)</f>
        <v>OK</v>
      </c>
      <c r="M179" s="47" t="str">
        <f aca="false">IF(EXACT($L179,$I179),"ok","CHECK")</f>
        <v>ok</v>
      </c>
    </row>
    <row r="180" customFormat="false" ht="12" hidden="false" customHeight="true" outlineLevel="0" collapsed="false">
      <c r="B180" s="50" t="s">
        <v>147</v>
      </c>
      <c r="C180" s="50" t="s">
        <v>337</v>
      </c>
      <c r="D180" s="79" t="s">
        <v>109</v>
      </c>
      <c r="E180" s="80" t="n">
        <v>46182</v>
      </c>
      <c r="F180" s="50" t="s">
        <v>483</v>
      </c>
      <c r="G180" s="81" t="s">
        <v>299</v>
      </c>
      <c r="H180" s="82" t="n">
        <v>1212.21</v>
      </c>
      <c r="I180" s="37" t="s">
        <v>226</v>
      </c>
      <c r="J180" s="37" t="s">
        <v>77</v>
      </c>
      <c r="K180" s="37" t="str">
        <f aca="false">TRIM(IF($B180="UNASSIGNED","NO COST CENTRE ","")&amp;IF(ISNA(MATCH($C180,Mapping!$B$7:$B$36,0)),"UNMAPPED ","")&amp;IF(COUNTIFS($C$4:$C180,$C180,$F$4:$F180,$F180,$H$4:$H180,$H180)&gt;1,"DUPLICATE ","")&amp;IF(AND(NOT(ISNA(MATCH($C180,Mapping!$B$7:$B$36,0))),$H180&lt;-'Control Panel'!$E$16),"CREDIT ","")&amp;IF(AND(NOT(ISNA(MATCH($C180,Mapping!$B$7:$B$36,0))),COUNTIFS(Budget!$B$4:$B$107,$B180,Budget!$C$4:$C$107,$D180)=0),"NO BUDGET ",""))</f>
        <v/>
      </c>
      <c r="L180" s="83" t="str">
        <f aca="false">IF($K180="","OK",$K180)</f>
        <v>OK</v>
      </c>
      <c r="M180" s="47" t="str">
        <f aca="false">IF(EXACT($L180,$I180),"ok","CHECK")</f>
        <v>ok</v>
      </c>
    </row>
    <row r="181" customFormat="false" ht="12" hidden="false" customHeight="true" outlineLevel="0" collapsed="false">
      <c r="B181" s="50" t="s">
        <v>147</v>
      </c>
      <c r="C181" s="50" t="s">
        <v>223</v>
      </c>
      <c r="D181" s="79" t="s">
        <v>113</v>
      </c>
      <c r="E181" s="80" t="n">
        <v>46182</v>
      </c>
      <c r="F181" s="50" t="s">
        <v>484</v>
      </c>
      <c r="G181" s="81" t="s">
        <v>375</v>
      </c>
      <c r="H181" s="82" t="n">
        <v>1187.99</v>
      </c>
      <c r="I181" s="37" t="s">
        <v>226</v>
      </c>
      <c r="J181" s="37" t="s">
        <v>77</v>
      </c>
      <c r="K181" s="37" t="str">
        <f aca="false">TRIM(IF($B181="UNASSIGNED","NO COST CENTRE ","")&amp;IF(ISNA(MATCH($C181,Mapping!$B$7:$B$36,0)),"UNMAPPED ","")&amp;IF(COUNTIFS($C$4:$C181,$C181,$F$4:$F181,$F181,$H$4:$H181,$H181)&gt;1,"DUPLICATE ","")&amp;IF(AND(NOT(ISNA(MATCH($C181,Mapping!$B$7:$B$36,0))),$H181&lt;-'Control Panel'!$E$16),"CREDIT ","")&amp;IF(AND(NOT(ISNA(MATCH($C181,Mapping!$B$7:$B$36,0))),COUNTIFS(Budget!$B$4:$B$107,$B181,Budget!$C$4:$C$107,$D181)=0),"NO BUDGET ",""))</f>
        <v/>
      </c>
      <c r="L181" s="83" t="str">
        <f aca="false">IF($K181="","OK",$K181)</f>
        <v>OK</v>
      </c>
      <c r="M181" s="47" t="str">
        <f aca="false">IF(EXACT($L181,$I181),"ok","CHECK")</f>
        <v>ok</v>
      </c>
    </row>
    <row r="182" customFormat="false" ht="12" hidden="false" customHeight="true" outlineLevel="0" collapsed="false">
      <c r="B182" s="50" t="s">
        <v>147</v>
      </c>
      <c r="C182" s="50" t="s">
        <v>227</v>
      </c>
      <c r="D182" s="79" t="s">
        <v>112</v>
      </c>
      <c r="E182" s="80" t="n">
        <v>46182</v>
      </c>
      <c r="F182" s="50" t="s">
        <v>485</v>
      </c>
      <c r="G182" s="81" t="s">
        <v>392</v>
      </c>
      <c r="H182" s="82" t="n">
        <v>8144.31</v>
      </c>
      <c r="I182" s="37" t="s">
        <v>226</v>
      </c>
      <c r="J182" s="37" t="s">
        <v>77</v>
      </c>
      <c r="K182" s="37" t="str">
        <f aca="false">TRIM(IF($B182="UNASSIGNED","NO COST CENTRE ","")&amp;IF(ISNA(MATCH($C182,Mapping!$B$7:$B$36,0)),"UNMAPPED ","")&amp;IF(COUNTIFS($C$4:$C182,$C182,$F$4:$F182,$F182,$H$4:$H182,$H182)&gt;1,"DUPLICATE ","")&amp;IF(AND(NOT(ISNA(MATCH($C182,Mapping!$B$7:$B$36,0))),$H182&lt;-'Control Panel'!$E$16),"CREDIT ","")&amp;IF(AND(NOT(ISNA(MATCH($C182,Mapping!$B$7:$B$36,0))),COUNTIFS(Budget!$B$4:$B$107,$B182,Budget!$C$4:$C$107,$D182)=0),"NO BUDGET ",""))</f>
        <v/>
      </c>
      <c r="L182" s="83" t="str">
        <f aca="false">IF($K182="","OK",$K182)</f>
        <v>OK</v>
      </c>
      <c r="M182" s="47" t="str">
        <f aca="false">IF(EXACT($L182,$I182),"ok","CHECK")</f>
        <v>ok</v>
      </c>
    </row>
    <row r="183" customFormat="false" ht="12" hidden="false" customHeight="true" outlineLevel="0" collapsed="false">
      <c r="B183" s="50" t="s">
        <v>147</v>
      </c>
      <c r="C183" s="50" t="s">
        <v>247</v>
      </c>
      <c r="D183" s="79" t="s">
        <v>110</v>
      </c>
      <c r="E183" s="80" t="n">
        <v>46182</v>
      </c>
      <c r="F183" s="50" t="s">
        <v>486</v>
      </c>
      <c r="G183" s="81" t="s">
        <v>270</v>
      </c>
      <c r="H183" s="82" t="n">
        <v>926.67</v>
      </c>
      <c r="I183" s="37" t="s">
        <v>226</v>
      </c>
      <c r="J183" s="37" t="s">
        <v>77</v>
      </c>
      <c r="K183" s="37" t="str">
        <f aca="false">TRIM(IF($B183="UNASSIGNED","NO COST CENTRE ","")&amp;IF(ISNA(MATCH($C183,Mapping!$B$7:$B$36,0)),"UNMAPPED ","")&amp;IF(COUNTIFS($C$4:$C183,$C183,$F$4:$F183,$F183,$H$4:$H183,$H183)&gt;1,"DUPLICATE ","")&amp;IF(AND(NOT(ISNA(MATCH($C183,Mapping!$B$7:$B$36,0))),$H183&lt;-'Control Panel'!$E$16),"CREDIT ","")&amp;IF(AND(NOT(ISNA(MATCH($C183,Mapping!$B$7:$B$36,0))),COUNTIFS(Budget!$B$4:$B$107,$B183,Budget!$C$4:$C$107,$D183)=0),"NO BUDGET ",""))</f>
        <v/>
      </c>
      <c r="L183" s="83" t="str">
        <f aca="false">IF($K183="","OK",$K183)</f>
        <v>OK</v>
      </c>
      <c r="M183" s="47" t="str">
        <f aca="false">IF(EXACT($L183,$I183),"ok","CHECK")</f>
        <v>ok</v>
      </c>
    </row>
    <row r="184" customFormat="false" ht="12" hidden="false" customHeight="true" outlineLevel="0" collapsed="false">
      <c r="B184" s="50" t="s">
        <v>147</v>
      </c>
      <c r="C184" s="50" t="s">
        <v>244</v>
      </c>
      <c r="D184" s="79" t="s">
        <v>111</v>
      </c>
      <c r="E184" s="80" t="n">
        <v>46183</v>
      </c>
      <c r="F184" s="50" t="s">
        <v>487</v>
      </c>
      <c r="G184" s="81" t="s">
        <v>360</v>
      </c>
      <c r="H184" s="82" t="n">
        <v>1484.73</v>
      </c>
      <c r="I184" s="37" t="s">
        <v>226</v>
      </c>
      <c r="J184" s="37" t="s">
        <v>77</v>
      </c>
      <c r="K184" s="37" t="str">
        <f aca="false">TRIM(IF($B184="UNASSIGNED","NO COST CENTRE ","")&amp;IF(ISNA(MATCH($C184,Mapping!$B$7:$B$36,0)),"UNMAPPED ","")&amp;IF(COUNTIFS($C$4:$C184,$C184,$F$4:$F184,$F184,$H$4:$H184,$H184)&gt;1,"DUPLICATE ","")&amp;IF(AND(NOT(ISNA(MATCH($C184,Mapping!$B$7:$B$36,0))),$H184&lt;-'Control Panel'!$E$16),"CREDIT ","")&amp;IF(AND(NOT(ISNA(MATCH($C184,Mapping!$B$7:$B$36,0))),COUNTIFS(Budget!$B$4:$B$107,$B184,Budget!$C$4:$C$107,$D184)=0),"NO BUDGET ",""))</f>
        <v/>
      </c>
      <c r="L184" s="83" t="str">
        <f aca="false">IF($K184="","OK",$K184)</f>
        <v>OK</v>
      </c>
      <c r="M184" s="47" t="str">
        <f aca="false">IF(EXACT($L184,$I184),"ok","CHECK")</f>
        <v>ok</v>
      </c>
    </row>
    <row r="185" customFormat="false" ht="12" hidden="false" customHeight="true" outlineLevel="0" collapsed="false">
      <c r="B185" s="50" t="s">
        <v>147</v>
      </c>
      <c r="C185" s="50" t="s">
        <v>241</v>
      </c>
      <c r="D185" s="79" t="s">
        <v>111</v>
      </c>
      <c r="E185" s="80" t="n">
        <v>46183</v>
      </c>
      <c r="F185" s="50" t="s">
        <v>488</v>
      </c>
      <c r="G185" s="81" t="s">
        <v>246</v>
      </c>
      <c r="H185" s="82" t="n">
        <v>2482.03</v>
      </c>
      <c r="I185" s="37" t="s">
        <v>226</v>
      </c>
      <c r="J185" s="37" t="s">
        <v>77</v>
      </c>
      <c r="K185" s="37" t="str">
        <f aca="false">TRIM(IF($B185="UNASSIGNED","NO COST CENTRE ","")&amp;IF(ISNA(MATCH($C185,Mapping!$B$7:$B$36,0)),"UNMAPPED ","")&amp;IF(COUNTIFS($C$4:$C185,$C185,$F$4:$F185,$F185,$H$4:$H185,$H185)&gt;1,"DUPLICATE ","")&amp;IF(AND(NOT(ISNA(MATCH($C185,Mapping!$B$7:$B$36,0))),$H185&lt;-'Control Panel'!$E$16),"CREDIT ","")&amp;IF(AND(NOT(ISNA(MATCH($C185,Mapping!$B$7:$B$36,0))),COUNTIFS(Budget!$B$4:$B$107,$B185,Budget!$C$4:$C$107,$D185)=0),"NO BUDGET ",""))</f>
        <v/>
      </c>
      <c r="L185" s="83" t="str">
        <f aca="false">IF($K185="","OK",$K185)</f>
        <v>OK</v>
      </c>
      <c r="M185" s="47" t="str">
        <f aca="false">IF(EXACT($L185,$I185),"ok","CHECK")</f>
        <v>ok</v>
      </c>
    </row>
    <row r="186" customFormat="false" ht="12" hidden="false" customHeight="true" outlineLevel="0" collapsed="false">
      <c r="B186" s="50" t="s">
        <v>147</v>
      </c>
      <c r="C186" s="50" t="s">
        <v>289</v>
      </c>
      <c r="D186" s="79" t="s">
        <v>111</v>
      </c>
      <c r="E186" s="80" t="n">
        <v>46185</v>
      </c>
      <c r="F186" s="50" t="s">
        <v>489</v>
      </c>
      <c r="G186" s="81" t="s">
        <v>261</v>
      </c>
      <c r="H186" s="82" t="n">
        <v>1174.61</v>
      </c>
      <c r="I186" s="37" t="s">
        <v>226</v>
      </c>
      <c r="J186" s="37" t="s">
        <v>77</v>
      </c>
      <c r="K186" s="37" t="str">
        <f aca="false">TRIM(IF($B186="UNASSIGNED","NO COST CENTRE ","")&amp;IF(ISNA(MATCH($C186,Mapping!$B$7:$B$36,0)),"UNMAPPED ","")&amp;IF(COUNTIFS($C$4:$C186,$C186,$F$4:$F186,$F186,$H$4:$H186,$H186)&gt;1,"DUPLICATE ","")&amp;IF(AND(NOT(ISNA(MATCH($C186,Mapping!$B$7:$B$36,0))),$H186&lt;-'Control Panel'!$E$16),"CREDIT ","")&amp;IF(AND(NOT(ISNA(MATCH($C186,Mapping!$B$7:$B$36,0))),COUNTIFS(Budget!$B$4:$B$107,$B186,Budget!$C$4:$C$107,$D186)=0),"NO BUDGET ",""))</f>
        <v/>
      </c>
      <c r="L186" s="83" t="str">
        <f aca="false">IF($K186="","OK",$K186)</f>
        <v>OK</v>
      </c>
      <c r="M186" s="47" t="str">
        <f aca="false">IF(EXACT($L186,$I186),"ok","CHECK")</f>
        <v>ok</v>
      </c>
    </row>
    <row r="187" customFormat="false" ht="12" hidden="false" customHeight="true" outlineLevel="0" collapsed="false">
      <c r="B187" s="50" t="s">
        <v>147</v>
      </c>
      <c r="C187" s="50" t="s">
        <v>244</v>
      </c>
      <c r="D187" s="79" t="s">
        <v>111</v>
      </c>
      <c r="E187" s="80" t="n">
        <v>46185</v>
      </c>
      <c r="F187" s="50" t="s">
        <v>490</v>
      </c>
      <c r="G187" s="81" t="s">
        <v>291</v>
      </c>
      <c r="H187" s="82" t="n">
        <v>1472.26</v>
      </c>
      <c r="I187" s="37" t="s">
        <v>226</v>
      </c>
      <c r="J187" s="37" t="s">
        <v>77</v>
      </c>
      <c r="K187" s="37" t="str">
        <f aca="false">TRIM(IF($B187="UNASSIGNED","NO COST CENTRE ","")&amp;IF(ISNA(MATCH($C187,Mapping!$B$7:$B$36,0)),"UNMAPPED ","")&amp;IF(COUNTIFS($C$4:$C187,$C187,$F$4:$F187,$F187,$H$4:$H187,$H187)&gt;1,"DUPLICATE ","")&amp;IF(AND(NOT(ISNA(MATCH($C187,Mapping!$B$7:$B$36,0))),$H187&lt;-'Control Panel'!$E$16),"CREDIT ","")&amp;IF(AND(NOT(ISNA(MATCH($C187,Mapping!$B$7:$B$36,0))),COUNTIFS(Budget!$B$4:$B$107,$B187,Budget!$C$4:$C$107,$D187)=0),"NO BUDGET ",""))</f>
        <v/>
      </c>
      <c r="L187" s="83" t="str">
        <f aca="false">IF($K187="","OK",$K187)</f>
        <v>OK</v>
      </c>
      <c r="M187" s="47" t="str">
        <f aca="false">IF(EXACT($L187,$I187),"ok","CHECK")</f>
        <v>ok</v>
      </c>
    </row>
    <row r="188" customFormat="false" ht="12" hidden="false" customHeight="true" outlineLevel="0" collapsed="false">
      <c r="B188" s="50" t="s">
        <v>147</v>
      </c>
      <c r="C188" s="50" t="s">
        <v>247</v>
      </c>
      <c r="D188" s="79" t="s">
        <v>110</v>
      </c>
      <c r="E188" s="80" t="n">
        <v>46186</v>
      </c>
      <c r="F188" s="50" t="s">
        <v>491</v>
      </c>
      <c r="G188" s="81" t="s">
        <v>249</v>
      </c>
      <c r="H188" s="82" t="n">
        <v>951.85</v>
      </c>
      <c r="I188" s="37" t="s">
        <v>226</v>
      </c>
      <c r="J188" s="37" t="s">
        <v>77</v>
      </c>
      <c r="K188" s="37" t="str">
        <f aca="false">TRIM(IF($B188="UNASSIGNED","NO COST CENTRE ","")&amp;IF(ISNA(MATCH($C188,Mapping!$B$7:$B$36,0)),"UNMAPPED ","")&amp;IF(COUNTIFS($C$4:$C188,$C188,$F$4:$F188,$F188,$H$4:$H188,$H188)&gt;1,"DUPLICATE ","")&amp;IF(AND(NOT(ISNA(MATCH($C188,Mapping!$B$7:$B$36,0))),$H188&lt;-'Control Panel'!$E$16),"CREDIT ","")&amp;IF(AND(NOT(ISNA(MATCH($C188,Mapping!$B$7:$B$36,0))),COUNTIFS(Budget!$B$4:$B$107,$B188,Budget!$C$4:$C$107,$D188)=0),"NO BUDGET ",""))</f>
        <v/>
      </c>
      <c r="L188" s="83" t="str">
        <f aca="false">IF($K188="","OK",$K188)</f>
        <v>OK</v>
      </c>
      <c r="M188" s="47" t="str">
        <f aca="false">IF(EXACT($L188,$I188),"ok","CHECK")</f>
        <v>ok</v>
      </c>
    </row>
    <row r="189" customFormat="false" ht="12" hidden="false" customHeight="true" outlineLevel="0" collapsed="false">
      <c r="B189" s="50" t="s">
        <v>147</v>
      </c>
      <c r="C189" s="50" t="s">
        <v>301</v>
      </c>
      <c r="D189" s="79" t="s">
        <v>122</v>
      </c>
      <c r="E189" s="80" t="n">
        <v>46186</v>
      </c>
      <c r="F189" s="50" t="s">
        <v>492</v>
      </c>
      <c r="G189" s="81" t="s">
        <v>237</v>
      </c>
      <c r="H189" s="82" t="n">
        <v>5750.34</v>
      </c>
      <c r="I189" s="37" t="s">
        <v>226</v>
      </c>
      <c r="J189" s="37" t="s">
        <v>77</v>
      </c>
      <c r="K189" s="37" t="str">
        <f aca="false">TRIM(IF($B189="UNASSIGNED","NO COST CENTRE ","")&amp;IF(ISNA(MATCH($C189,Mapping!$B$7:$B$36,0)),"UNMAPPED ","")&amp;IF(COUNTIFS($C$4:$C189,$C189,$F$4:$F189,$F189,$H$4:$H189,$H189)&gt;1,"DUPLICATE ","")&amp;IF(AND(NOT(ISNA(MATCH($C189,Mapping!$B$7:$B$36,0))),$H189&lt;-'Control Panel'!$E$16),"CREDIT ","")&amp;IF(AND(NOT(ISNA(MATCH($C189,Mapping!$B$7:$B$36,0))),COUNTIFS(Budget!$B$4:$B$107,$B189,Budget!$C$4:$C$107,$D189)=0),"NO BUDGET ",""))</f>
        <v/>
      </c>
      <c r="L189" s="83" t="str">
        <f aca="false">IF($K189="","OK",$K189)</f>
        <v>OK</v>
      </c>
      <c r="M189" s="47" t="str">
        <f aca="false">IF(EXACT($L189,$I189),"ok","CHECK")</f>
        <v>ok</v>
      </c>
    </row>
    <row r="190" customFormat="false" ht="12" hidden="false" customHeight="true" outlineLevel="0" collapsed="false">
      <c r="B190" s="50" t="s">
        <v>147</v>
      </c>
      <c r="C190" s="50" t="s">
        <v>238</v>
      </c>
      <c r="D190" s="79" t="s">
        <v>110</v>
      </c>
      <c r="E190" s="80" t="n">
        <v>46187</v>
      </c>
      <c r="F190" s="50" t="s">
        <v>493</v>
      </c>
      <c r="G190" s="81" t="s">
        <v>270</v>
      </c>
      <c r="H190" s="82" t="n">
        <v>1775.48</v>
      </c>
      <c r="I190" s="37" t="s">
        <v>226</v>
      </c>
      <c r="J190" s="37" t="s">
        <v>77</v>
      </c>
      <c r="K190" s="37" t="str">
        <f aca="false">TRIM(IF($B190="UNASSIGNED","NO COST CENTRE ","")&amp;IF(ISNA(MATCH($C190,Mapping!$B$7:$B$36,0)),"UNMAPPED ","")&amp;IF(COUNTIFS($C$4:$C190,$C190,$F$4:$F190,$F190,$H$4:$H190,$H190)&gt;1,"DUPLICATE ","")&amp;IF(AND(NOT(ISNA(MATCH($C190,Mapping!$B$7:$B$36,0))),$H190&lt;-'Control Panel'!$E$16),"CREDIT ","")&amp;IF(AND(NOT(ISNA(MATCH($C190,Mapping!$B$7:$B$36,0))),COUNTIFS(Budget!$B$4:$B$107,$B190,Budget!$C$4:$C$107,$D190)=0),"NO BUDGET ",""))</f>
        <v/>
      </c>
      <c r="L190" s="83" t="str">
        <f aca="false">IF($K190="","OK",$K190)</f>
        <v>OK</v>
      </c>
      <c r="M190" s="47" t="str">
        <f aca="false">IF(EXACT($L190,$I190),"ok","CHECK")</f>
        <v>ok</v>
      </c>
    </row>
    <row r="191" customFormat="false" ht="12" hidden="false" customHeight="true" outlineLevel="0" collapsed="false">
      <c r="B191" s="50" t="s">
        <v>147</v>
      </c>
      <c r="C191" s="50" t="s">
        <v>238</v>
      </c>
      <c r="D191" s="79" t="s">
        <v>110</v>
      </c>
      <c r="E191" s="80" t="n">
        <v>46187</v>
      </c>
      <c r="F191" s="50" t="s">
        <v>494</v>
      </c>
      <c r="G191" s="81" t="s">
        <v>330</v>
      </c>
      <c r="H191" s="82" t="n">
        <v>1554.43</v>
      </c>
      <c r="I191" s="37" t="s">
        <v>226</v>
      </c>
      <c r="J191" s="37" t="s">
        <v>77</v>
      </c>
      <c r="K191" s="37" t="str">
        <f aca="false">TRIM(IF($B191="UNASSIGNED","NO COST CENTRE ","")&amp;IF(ISNA(MATCH($C191,Mapping!$B$7:$B$36,0)),"UNMAPPED ","")&amp;IF(COUNTIFS($C$4:$C191,$C191,$F$4:$F191,$F191,$H$4:$H191,$H191)&gt;1,"DUPLICATE ","")&amp;IF(AND(NOT(ISNA(MATCH($C191,Mapping!$B$7:$B$36,0))),$H191&lt;-'Control Panel'!$E$16),"CREDIT ","")&amp;IF(AND(NOT(ISNA(MATCH($C191,Mapping!$B$7:$B$36,0))),COUNTIFS(Budget!$B$4:$B$107,$B191,Budget!$C$4:$C$107,$D191)=0),"NO BUDGET ",""))</f>
        <v/>
      </c>
      <c r="L191" s="83" t="str">
        <f aca="false">IF($K191="","OK",$K191)</f>
        <v>OK</v>
      </c>
      <c r="M191" s="47" t="str">
        <f aca="false">IF(EXACT($L191,$I191),"ok","CHECK")</f>
        <v>ok</v>
      </c>
    </row>
    <row r="192" customFormat="false" ht="12" hidden="false" customHeight="true" outlineLevel="0" collapsed="false">
      <c r="B192" s="50" t="s">
        <v>147</v>
      </c>
      <c r="C192" s="50" t="s">
        <v>238</v>
      </c>
      <c r="D192" s="79" t="s">
        <v>110</v>
      </c>
      <c r="E192" s="80" t="n">
        <v>46187</v>
      </c>
      <c r="F192" s="50" t="s">
        <v>495</v>
      </c>
      <c r="G192" s="81" t="s">
        <v>270</v>
      </c>
      <c r="H192" s="82" t="n">
        <v>1466.53</v>
      </c>
      <c r="I192" s="37" t="s">
        <v>226</v>
      </c>
      <c r="J192" s="37" t="s">
        <v>77</v>
      </c>
      <c r="K192" s="37" t="str">
        <f aca="false">TRIM(IF($B192="UNASSIGNED","NO COST CENTRE ","")&amp;IF(ISNA(MATCH($C192,Mapping!$B$7:$B$36,0)),"UNMAPPED ","")&amp;IF(COUNTIFS($C$4:$C192,$C192,$F$4:$F192,$F192,$H$4:$H192,$H192)&gt;1,"DUPLICATE ","")&amp;IF(AND(NOT(ISNA(MATCH($C192,Mapping!$B$7:$B$36,0))),$H192&lt;-'Control Panel'!$E$16),"CREDIT ","")&amp;IF(AND(NOT(ISNA(MATCH($C192,Mapping!$B$7:$B$36,0))),COUNTIFS(Budget!$B$4:$B$107,$B192,Budget!$C$4:$C$107,$D192)=0),"NO BUDGET ",""))</f>
        <v/>
      </c>
      <c r="L192" s="83" t="str">
        <f aca="false">IF($K192="","OK",$K192)</f>
        <v>OK</v>
      </c>
      <c r="M192" s="47" t="str">
        <f aca="false">IF(EXACT($L192,$I192),"ok","CHECK")</f>
        <v>ok</v>
      </c>
    </row>
    <row r="193" customFormat="false" ht="12" hidden="false" customHeight="true" outlineLevel="0" collapsed="false">
      <c r="B193" s="50" t="s">
        <v>147</v>
      </c>
      <c r="C193" s="50" t="s">
        <v>238</v>
      </c>
      <c r="D193" s="79" t="s">
        <v>110</v>
      </c>
      <c r="E193" s="80" t="n">
        <v>46187</v>
      </c>
      <c r="F193" s="50" t="s">
        <v>496</v>
      </c>
      <c r="G193" s="81" t="s">
        <v>330</v>
      </c>
      <c r="H193" s="82" t="n">
        <v>1594.94</v>
      </c>
      <c r="I193" s="37" t="s">
        <v>226</v>
      </c>
      <c r="J193" s="37" t="s">
        <v>77</v>
      </c>
      <c r="K193" s="37" t="str">
        <f aca="false">TRIM(IF($B193="UNASSIGNED","NO COST CENTRE ","")&amp;IF(ISNA(MATCH($C193,Mapping!$B$7:$B$36,0)),"UNMAPPED ","")&amp;IF(COUNTIFS($C$4:$C193,$C193,$F$4:$F193,$F193,$H$4:$H193,$H193)&gt;1,"DUPLICATE ","")&amp;IF(AND(NOT(ISNA(MATCH($C193,Mapping!$B$7:$B$36,0))),$H193&lt;-'Control Panel'!$E$16),"CREDIT ","")&amp;IF(AND(NOT(ISNA(MATCH($C193,Mapping!$B$7:$B$36,0))),COUNTIFS(Budget!$B$4:$B$107,$B193,Budget!$C$4:$C$107,$D193)=0),"NO BUDGET ",""))</f>
        <v/>
      </c>
      <c r="L193" s="83" t="str">
        <f aca="false">IF($K193="","OK",$K193)</f>
        <v>OK</v>
      </c>
      <c r="M193" s="47" t="str">
        <f aca="false">IF(EXACT($L193,$I193),"ok","CHECK")</f>
        <v>ok</v>
      </c>
    </row>
    <row r="194" customFormat="false" ht="12" hidden="false" customHeight="true" outlineLevel="0" collapsed="false">
      <c r="B194" s="50" t="s">
        <v>147</v>
      </c>
      <c r="C194" s="50" t="s">
        <v>259</v>
      </c>
      <c r="D194" s="79" t="s">
        <v>111</v>
      </c>
      <c r="E194" s="80" t="n">
        <v>46187</v>
      </c>
      <c r="F194" s="50" t="s">
        <v>497</v>
      </c>
      <c r="G194" s="81" t="s">
        <v>318</v>
      </c>
      <c r="H194" s="82" t="n">
        <v>2603.88</v>
      </c>
      <c r="I194" s="37" t="s">
        <v>226</v>
      </c>
      <c r="J194" s="37" t="s">
        <v>77</v>
      </c>
      <c r="K194" s="37" t="str">
        <f aca="false">TRIM(IF($B194="UNASSIGNED","NO COST CENTRE ","")&amp;IF(ISNA(MATCH($C194,Mapping!$B$7:$B$36,0)),"UNMAPPED ","")&amp;IF(COUNTIFS($C$4:$C194,$C194,$F$4:$F194,$F194,$H$4:$H194,$H194)&gt;1,"DUPLICATE ","")&amp;IF(AND(NOT(ISNA(MATCH($C194,Mapping!$B$7:$B$36,0))),$H194&lt;-'Control Panel'!$E$16),"CREDIT ","")&amp;IF(AND(NOT(ISNA(MATCH($C194,Mapping!$B$7:$B$36,0))),COUNTIFS(Budget!$B$4:$B$107,$B194,Budget!$C$4:$C$107,$D194)=0),"NO BUDGET ",""))</f>
        <v/>
      </c>
      <c r="L194" s="83" t="str">
        <f aca="false">IF($K194="","OK",$K194)</f>
        <v>OK</v>
      </c>
      <c r="M194" s="47" t="str">
        <f aca="false">IF(EXACT($L194,$I194),"ok","CHECK")</f>
        <v>ok</v>
      </c>
    </row>
    <row r="195" customFormat="false" ht="12" hidden="false" customHeight="true" outlineLevel="0" collapsed="false">
      <c r="B195" s="50" t="s">
        <v>147</v>
      </c>
      <c r="C195" s="50" t="s">
        <v>227</v>
      </c>
      <c r="D195" s="79" t="s">
        <v>112</v>
      </c>
      <c r="E195" s="80" t="n">
        <v>46188</v>
      </c>
      <c r="F195" s="50" t="s">
        <v>498</v>
      </c>
      <c r="G195" s="81" t="s">
        <v>499</v>
      </c>
      <c r="H195" s="82" t="n">
        <v>5013.18</v>
      </c>
      <c r="I195" s="37" t="s">
        <v>226</v>
      </c>
      <c r="J195" s="37" t="s">
        <v>77</v>
      </c>
      <c r="K195" s="37" t="str">
        <f aca="false">TRIM(IF($B195="UNASSIGNED","NO COST CENTRE ","")&amp;IF(ISNA(MATCH($C195,Mapping!$B$7:$B$36,0)),"UNMAPPED ","")&amp;IF(COUNTIFS($C$4:$C195,$C195,$F$4:$F195,$F195,$H$4:$H195,$H195)&gt;1,"DUPLICATE ","")&amp;IF(AND(NOT(ISNA(MATCH($C195,Mapping!$B$7:$B$36,0))),$H195&lt;-'Control Panel'!$E$16),"CREDIT ","")&amp;IF(AND(NOT(ISNA(MATCH($C195,Mapping!$B$7:$B$36,0))),COUNTIFS(Budget!$B$4:$B$107,$B195,Budget!$C$4:$C$107,$D195)=0),"NO BUDGET ",""))</f>
        <v/>
      </c>
      <c r="L195" s="83" t="str">
        <f aca="false">IF($K195="","OK",$K195)</f>
        <v>OK</v>
      </c>
      <c r="M195" s="47" t="str">
        <f aca="false">IF(EXACT($L195,$I195),"ok","CHECK")</f>
        <v>ok</v>
      </c>
    </row>
    <row r="196" customFormat="false" ht="12" hidden="false" customHeight="true" outlineLevel="0" collapsed="false">
      <c r="B196" s="50" t="s">
        <v>147</v>
      </c>
      <c r="C196" s="50" t="s">
        <v>238</v>
      </c>
      <c r="D196" s="79" t="s">
        <v>110</v>
      </c>
      <c r="E196" s="80" t="n">
        <v>46188</v>
      </c>
      <c r="F196" s="50" t="s">
        <v>500</v>
      </c>
      <c r="G196" s="81" t="s">
        <v>249</v>
      </c>
      <c r="H196" s="82" t="n">
        <v>1252.13</v>
      </c>
      <c r="I196" s="37" t="s">
        <v>226</v>
      </c>
      <c r="J196" s="37" t="s">
        <v>77</v>
      </c>
      <c r="K196" s="37" t="str">
        <f aca="false">TRIM(IF($B196="UNASSIGNED","NO COST CENTRE ","")&amp;IF(ISNA(MATCH($C196,Mapping!$B$7:$B$36,0)),"UNMAPPED ","")&amp;IF(COUNTIFS($C$4:$C196,$C196,$F$4:$F196,$F196,$H$4:$H196,$H196)&gt;1,"DUPLICATE ","")&amp;IF(AND(NOT(ISNA(MATCH($C196,Mapping!$B$7:$B$36,0))),$H196&lt;-'Control Panel'!$E$16),"CREDIT ","")&amp;IF(AND(NOT(ISNA(MATCH($C196,Mapping!$B$7:$B$36,0))),COUNTIFS(Budget!$B$4:$B$107,$B196,Budget!$C$4:$C$107,$D196)=0),"NO BUDGET ",""))</f>
        <v/>
      </c>
      <c r="L196" s="83" t="str">
        <f aca="false">IF($K196="","OK",$K196)</f>
        <v>OK</v>
      </c>
      <c r="M196" s="47" t="str">
        <f aca="false">IF(EXACT($L196,$I196),"ok","CHECK")</f>
        <v>ok</v>
      </c>
    </row>
    <row r="197" customFormat="false" ht="12" hidden="false" customHeight="true" outlineLevel="0" collapsed="false">
      <c r="B197" s="50" t="s">
        <v>147</v>
      </c>
      <c r="C197" s="50" t="s">
        <v>289</v>
      </c>
      <c r="D197" s="79" t="s">
        <v>111</v>
      </c>
      <c r="E197" s="80" t="n">
        <v>46188</v>
      </c>
      <c r="F197" s="50" t="s">
        <v>501</v>
      </c>
      <c r="G197" s="81" t="s">
        <v>342</v>
      </c>
      <c r="H197" s="82" t="n">
        <v>2605.3</v>
      </c>
      <c r="I197" s="37" t="s">
        <v>226</v>
      </c>
      <c r="J197" s="37" t="s">
        <v>77</v>
      </c>
      <c r="K197" s="37" t="str">
        <f aca="false">TRIM(IF($B197="UNASSIGNED","NO COST CENTRE ","")&amp;IF(ISNA(MATCH($C197,Mapping!$B$7:$B$36,0)),"UNMAPPED ","")&amp;IF(COUNTIFS($C$4:$C197,$C197,$F$4:$F197,$F197,$H$4:$H197,$H197)&gt;1,"DUPLICATE ","")&amp;IF(AND(NOT(ISNA(MATCH($C197,Mapping!$B$7:$B$36,0))),$H197&lt;-'Control Panel'!$E$16),"CREDIT ","")&amp;IF(AND(NOT(ISNA(MATCH($C197,Mapping!$B$7:$B$36,0))),COUNTIFS(Budget!$B$4:$B$107,$B197,Budget!$C$4:$C$107,$D197)=0),"NO BUDGET ",""))</f>
        <v/>
      </c>
      <c r="L197" s="83" t="str">
        <f aca="false">IF($K197="","OK",$K197)</f>
        <v>OK</v>
      </c>
      <c r="M197" s="47" t="str">
        <f aca="false">IF(EXACT($L197,$I197),"ok","CHECK")</f>
        <v>ok</v>
      </c>
    </row>
    <row r="198" customFormat="false" ht="12" hidden="false" customHeight="true" outlineLevel="0" collapsed="false">
      <c r="B198" s="50" t="s">
        <v>147</v>
      </c>
      <c r="C198" s="50" t="s">
        <v>244</v>
      </c>
      <c r="D198" s="79" t="s">
        <v>111</v>
      </c>
      <c r="E198" s="80" t="n">
        <v>46188</v>
      </c>
      <c r="F198" s="50" t="s">
        <v>502</v>
      </c>
      <c r="G198" s="81" t="s">
        <v>318</v>
      </c>
      <c r="H198" s="82" t="n">
        <v>1299.57</v>
      </c>
      <c r="I198" s="37" t="s">
        <v>226</v>
      </c>
      <c r="J198" s="37" t="s">
        <v>77</v>
      </c>
      <c r="K198" s="37" t="str">
        <f aca="false">TRIM(IF($B198="UNASSIGNED","NO COST CENTRE ","")&amp;IF(ISNA(MATCH($C198,Mapping!$B$7:$B$36,0)),"UNMAPPED ","")&amp;IF(COUNTIFS($C$4:$C198,$C198,$F$4:$F198,$F198,$H$4:$H198,$H198)&gt;1,"DUPLICATE ","")&amp;IF(AND(NOT(ISNA(MATCH($C198,Mapping!$B$7:$B$36,0))),$H198&lt;-'Control Panel'!$E$16),"CREDIT ","")&amp;IF(AND(NOT(ISNA(MATCH($C198,Mapping!$B$7:$B$36,0))),COUNTIFS(Budget!$B$4:$B$107,$B198,Budget!$C$4:$C$107,$D198)=0),"NO BUDGET ",""))</f>
        <v/>
      </c>
      <c r="L198" s="83" t="str">
        <f aca="false">IF($K198="","OK",$K198)</f>
        <v>OK</v>
      </c>
      <c r="M198" s="47" t="str">
        <f aca="false">IF(EXACT($L198,$I198),"ok","CHECK")</f>
        <v>ok</v>
      </c>
    </row>
    <row r="199" customFormat="false" ht="12" hidden="false" customHeight="true" outlineLevel="0" collapsed="false">
      <c r="B199" s="50" t="s">
        <v>147</v>
      </c>
      <c r="C199" s="50" t="s">
        <v>223</v>
      </c>
      <c r="D199" s="79" t="s">
        <v>113</v>
      </c>
      <c r="E199" s="80" t="n">
        <v>46189</v>
      </c>
      <c r="F199" s="50" t="s">
        <v>503</v>
      </c>
      <c r="G199" s="81" t="s">
        <v>504</v>
      </c>
      <c r="H199" s="82" t="n">
        <v>1362.65</v>
      </c>
      <c r="I199" s="37" t="s">
        <v>226</v>
      </c>
      <c r="J199" s="37" t="s">
        <v>77</v>
      </c>
      <c r="K199" s="37" t="str">
        <f aca="false">TRIM(IF($B199="UNASSIGNED","NO COST CENTRE ","")&amp;IF(ISNA(MATCH($C199,Mapping!$B$7:$B$36,0)),"UNMAPPED ","")&amp;IF(COUNTIFS($C$4:$C199,$C199,$F$4:$F199,$F199,$H$4:$H199,$H199)&gt;1,"DUPLICATE ","")&amp;IF(AND(NOT(ISNA(MATCH($C199,Mapping!$B$7:$B$36,0))),$H199&lt;-'Control Panel'!$E$16),"CREDIT ","")&amp;IF(AND(NOT(ISNA(MATCH($C199,Mapping!$B$7:$B$36,0))),COUNTIFS(Budget!$B$4:$B$107,$B199,Budget!$C$4:$C$107,$D199)=0),"NO BUDGET ",""))</f>
        <v/>
      </c>
      <c r="L199" s="83" t="str">
        <f aca="false">IF($K199="","OK",$K199)</f>
        <v>OK</v>
      </c>
      <c r="M199" s="47" t="str">
        <f aca="false">IF(EXACT($L199,$I199),"ok","CHECK")</f>
        <v>ok</v>
      </c>
    </row>
    <row r="200" customFormat="false" ht="12" hidden="false" customHeight="true" outlineLevel="0" collapsed="false">
      <c r="B200" s="50" t="s">
        <v>147</v>
      </c>
      <c r="C200" s="50" t="s">
        <v>266</v>
      </c>
      <c r="D200" s="79" t="s">
        <v>109</v>
      </c>
      <c r="E200" s="80" t="n">
        <v>46190</v>
      </c>
      <c r="F200" s="50" t="s">
        <v>505</v>
      </c>
      <c r="G200" s="81" t="s">
        <v>268</v>
      </c>
      <c r="H200" s="82" t="n">
        <v>818.02</v>
      </c>
      <c r="I200" s="37" t="s">
        <v>226</v>
      </c>
      <c r="J200" s="37" t="s">
        <v>77</v>
      </c>
      <c r="K200" s="37" t="str">
        <f aca="false">TRIM(IF($B200="UNASSIGNED","NO COST CENTRE ","")&amp;IF(ISNA(MATCH($C200,Mapping!$B$7:$B$36,0)),"UNMAPPED ","")&amp;IF(COUNTIFS($C$4:$C200,$C200,$F$4:$F200,$F200,$H$4:$H200,$H200)&gt;1,"DUPLICATE ","")&amp;IF(AND(NOT(ISNA(MATCH($C200,Mapping!$B$7:$B$36,0))),$H200&lt;-'Control Panel'!$E$16),"CREDIT ","")&amp;IF(AND(NOT(ISNA(MATCH($C200,Mapping!$B$7:$B$36,0))),COUNTIFS(Budget!$B$4:$B$107,$B200,Budget!$C$4:$C$107,$D200)=0),"NO BUDGET ",""))</f>
        <v/>
      </c>
      <c r="L200" s="83" t="str">
        <f aca="false">IF($K200="","OK",$K200)</f>
        <v>OK</v>
      </c>
      <c r="M200" s="47" t="str">
        <f aca="false">IF(EXACT($L200,$I200),"ok","CHECK")</f>
        <v>ok</v>
      </c>
    </row>
    <row r="201" customFormat="false" ht="12" hidden="false" customHeight="true" outlineLevel="0" collapsed="false">
      <c r="B201" s="50" t="s">
        <v>147</v>
      </c>
      <c r="C201" s="50" t="s">
        <v>305</v>
      </c>
      <c r="D201" s="79" t="s">
        <v>115</v>
      </c>
      <c r="E201" s="80" t="n">
        <v>46190</v>
      </c>
      <c r="F201" s="50" t="s">
        <v>506</v>
      </c>
      <c r="G201" s="81" t="s">
        <v>394</v>
      </c>
      <c r="H201" s="82" t="n">
        <v>1914.53</v>
      </c>
      <c r="I201" s="37" t="s">
        <v>226</v>
      </c>
      <c r="J201" s="37" t="s">
        <v>77</v>
      </c>
      <c r="K201" s="37" t="str">
        <f aca="false">TRIM(IF($B201="UNASSIGNED","NO COST CENTRE ","")&amp;IF(ISNA(MATCH($C201,Mapping!$B$7:$B$36,0)),"UNMAPPED ","")&amp;IF(COUNTIFS($C$4:$C201,$C201,$F$4:$F201,$F201,$H$4:$H201,$H201)&gt;1,"DUPLICATE ","")&amp;IF(AND(NOT(ISNA(MATCH($C201,Mapping!$B$7:$B$36,0))),$H201&lt;-'Control Panel'!$E$16),"CREDIT ","")&amp;IF(AND(NOT(ISNA(MATCH($C201,Mapping!$B$7:$B$36,0))),COUNTIFS(Budget!$B$4:$B$107,$B201,Budget!$C$4:$C$107,$D201)=0),"NO BUDGET ",""))</f>
        <v/>
      </c>
      <c r="L201" s="83" t="str">
        <f aca="false">IF($K201="","OK",$K201)</f>
        <v>OK</v>
      </c>
      <c r="M201" s="47" t="str">
        <f aca="false">IF(EXACT($L201,$I201),"ok","CHECK")</f>
        <v>ok</v>
      </c>
    </row>
    <row r="202" customFormat="false" ht="12" hidden="false" customHeight="true" outlineLevel="0" collapsed="false">
      <c r="B202" s="50" t="s">
        <v>147</v>
      </c>
      <c r="C202" s="50" t="s">
        <v>259</v>
      </c>
      <c r="D202" s="79" t="s">
        <v>111</v>
      </c>
      <c r="E202" s="80" t="n">
        <v>46190</v>
      </c>
      <c r="F202" s="50" t="s">
        <v>507</v>
      </c>
      <c r="G202" s="81" t="s">
        <v>342</v>
      </c>
      <c r="H202" s="82" t="n">
        <v>2487.42</v>
      </c>
      <c r="I202" s="37" t="s">
        <v>226</v>
      </c>
      <c r="J202" s="37" t="s">
        <v>77</v>
      </c>
      <c r="K202" s="37" t="str">
        <f aca="false">TRIM(IF($B202="UNASSIGNED","NO COST CENTRE ","")&amp;IF(ISNA(MATCH($C202,Mapping!$B$7:$B$36,0)),"UNMAPPED ","")&amp;IF(COUNTIFS($C$4:$C202,$C202,$F$4:$F202,$F202,$H$4:$H202,$H202)&gt;1,"DUPLICATE ","")&amp;IF(AND(NOT(ISNA(MATCH($C202,Mapping!$B$7:$B$36,0))),$H202&lt;-'Control Panel'!$E$16),"CREDIT ","")&amp;IF(AND(NOT(ISNA(MATCH($C202,Mapping!$B$7:$B$36,0))),COUNTIFS(Budget!$B$4:$B$107,$B202,Budget!$C$4:$C$107,$D202)=0),"NO BUDGET ",""))</f>
        <v/>
      </c>
      <c r="L202" s="83" t="str">
        <f aca="false">IF($K202="","OK",$K202)</f>
        <v>OK</v>
      </c>
      <c r="M202" s="47" t="str">
        <f aca="false">IF(EXACT($L202,$I202),"ok","CHECK")</f>
        <v>ok</v>
      </c>
    </row>
    <row r="203" customFormat="false" ht="12" hidden="false" customHeight="true" outlineLevel="0" collapsed="false">
      <c r="B203" s="50" t="s">
        <v>147</v>
      </c>
      <c r="C203" s="50" t="s">
        <v>223</v>
      </c>
      <c r="D203" s="79" t="s">
        <v>113</v>
      </c>
      <c r="E203" s="80" t="n">
        <v>46190</v>
      </c>
      <c r="F203" s="50" t="s">
        <v>508</v>
      </c>
      <c r="G203" s="81" t="s">
        <v>459</v>
      </c>
      <c r="H203" s="82" t="n">
        <v>1199.35</v>
      </c>
      <c r="I203" s="37" t="s">
        <v>226</v>
      </c>
      <c r="J203" s="37" t="s">
        <v>77</v>
      </c>
      <c r="K203" s="37" t="str">
        <f aca="false">TRIM(IF($B203="UNASSIGNED","NO COST CENTRE ","")&amp;IF(ISNA(MATCH($C203,Mapping!$B$7:$B$36,0)),"UNMAPPED ","")&amp;IF(COUNTIFS($C$4:$C203,$C203,$F$4:$F203,$F203,$H$4:$H203,$H203)&gt;1,"DUPLICATE ","")&amp;IF(AND(NOT(ISNA(MATCH($C203,Mapping!$B$7:$B$36,0))),$H203&lt;-'Control Panel'!$E$16),"CREDIT ","")&amp;IF(AND(NOT(ISNA(MATCH($C203,Mapping!$B$7:$B$36,0))),COUNTIFS(Budget!$B$4:$B$107,$B203,Budget!$C$4:$C$107,$D203)=0),"NO BUDGET ",""))</f>
        <v/>
      </c>
      <c r="L203" s="83" t="str">
        <f aca="false">IF($K203="","OK",$K203)</f>
        <v>OK</v>
      </c>
      <c r="M203" s="47" t="str">
        <f aca="false">IF(EXACT($L203,$I203),"ok","CHECK")</f>
        <v>ok</v>
      </c>
    </row>
    <row r="204" customFormat="false" ht="12" hidden="false" customHeight="true" outlineLevel="0" collapsed="false">
      <c r="B204" s="50" t="s">
        <v>147</v>
      </c>
      <c r="C204" s="50" t="s">
        <v>266</v>
      </c>
      <c r="D204" s="79" t="s">
        <v>109</v>
      </c>
      <c r="E204" s="80" t="n">
        <v>46191</v>
      </c>
      <c r="F204" s="50" t="s">
        <v>509</v>
      </c>
      <c r="G204" s="81" t="s">
        <v>352</v>
      </c>
      <c r="H204" s="82" t="n">
        <v>1056.2</v>
      </c>
      <c r="I204" s="37" t="s">
        <v>226</v>
      </c>
      <c r="J204" s="37" t="s">
        <v>77</v>
      </c>
      <c r="K204" s="37" t="str">
        <f aca="false">TRIM(IF($B204="UNASSIGNED","NO COST CENTRE ","")&amp;IF(ISNA(MATCH($C204,Mapping!$B$7:$B$36,0)),"UNMAPPED ","")&amp;IF(COUNTIFS($C$4:$C204,$C204,$F$4:$F204,$F204,$H$4:$H204,$H204)&gt;1,"DUPLICATE ","")&amp;IF(AND(NOT(ISNA(MATCH($C204,Mapping!$B$7:$B$36,0))),$H204&lt;-'Control Panel'!$E$16),"CREDIT ","")&amp;IF(AND(NOT(ISNA(MATCH($C204,Mapping!$B$7:$B$36,0))),COUNTIFS(Budget!$B$4:$B$107,$B204,Budget!$C$4:$C$107,$D204)=0),"NO BUDGET ",""))</f>
        <v/>
      </c>
      <c r="L204" s="83" t="str">
        <f aca="false">IF($K204="","OK",$K204)</f>
        <v>OK</v>
      </c>
      <c r="M204" s="47" t="str">
        <f aca="false">IF(EXACT($L204,$I204),"ok","CHECK")</f>
        <v>ok</v>
      </c>
    </row>
    <row r="205" customFormat="false" ht="12" hidden="false" customHeight="true" outlineLevel="0" collapsed="false">
      <c r="B205" s="50" t="s">
        <v>147</v>
      </c>
      <c r="C205" s="50" t="s">
        <v>337</v>
      </c>
      <c r="D205" s="79" t="s">
        <v>109</v>
      </c>
      <c r="E205" s="80" t="n">
        <v>46192</v>
      </c>
      <c r="F205" s="50" t="s">
        <v>510</v>
      </c>
      <c r="G205" s="81" t="s">
        <v>446</v>
      </c>
      <c r="H205" s="82" t="n">
        <v>1524.02</v>
      </c>
      <c r="I205" s="37" t="s">
        <v>226</v>
      </c>
      <c r="J205" s="37" t="s">
        <v>77</v>
      </c>
      <c r="K205" s="37" t="str">
        <f aca="false">TRIM(IF($B205="UNASSIGNED","NO COST CENTRE ","")&amp;IF(ISNA(MATCH($C205,Mapping!$B$7:$B$36,0)),"UNMAPPED ","")&amp;IF(COUNTIFS($C$4:$C205,$C205,$F$4:$F205,$F205,$H$4:$H205,$H205)&gt;1,"DUPLICATE ","")&amp;IF(AND(NOT(ISNA(MATCH($C205,Mapping!$B$7:$B$36,0))),$H205&lt;-'Control Panel'!$E$16),"CREDIT ","")&amp;IF(AND(NOT(ISNA(MATCH($C205,Mapping!$B$7:$B$36,0))),COUNTIFS(Budget!$B$4:$B$107,$B205,Budget!$C$4:$C$107,$D205)=0),"NO BUDGET ",""))</f>
        <v/>
      </c>
      <c r="L205" s="83" t="str">
        <f aca="false">IF($K205="","OK",$K205)</f>
        <v>OK</v>
      </c>
      <c r="M205" s="47" t="str">
        <f aca="false">IF(EXACT($L205,$I205),"ok","CHECK")</f>
        <v>ok</v>
      </c>
    </row>
    <row r="206" customFormat="false" ht="12" hidden="false" customHeight="true" outlineLevel="0" collapsed="false">
      <c r="B206" s="50" t="s">
        <v>147</v>
      </c>
      <c r="C206" s="50" t="s">
        <v>377</v>
      </c>
      <c r="D206" s="79" t="s">
        <v>114</v>
      </c>
      <c r="E206" s="80" t="n">
        <v>46193</v>
      </c>
      <c r="F206" s="50" t="s">
        <v>511</v>
      </c>
      <c r="G206" s="81" t="s">
        <v>512</v>
      </c>
      <c r="H206" s="82" t="n">
        <v>810.52</v>
      </c>
      <c r="I206" s="37" t="s">
        <v>226</v>
      </c>
      <c r="J206" s="37" t="s">
        <v>77</v>
      </c>
      <c r="K206" s="37" t="str">
        <f aca="false">TRIM(IF($B206="UNASSIGNED","NO COST CENTRE ","")&amp;IF(ISNA(MATCH($C206,Mapping!$B$7:$B$36,0)),"UNMAPPED ","")&amp;IF(COUNTIFS($C$4:$C206,$C206,$F$4:$F206,$F206,$H$4:$H206,$H206)&gt;1,"DUPLICATE ","")&amp;IF(AND(NOT(ISNA(MATCH($C206,Mapping!$B$7:$B$36,0))),$H206&lt;-'Control Panel'!$E$16),"CREDIT ","")&amp;IF(AND(NOT(ISNA(MATCH($C206,Mapping!$B$7:$B$36,0))),COUNTIFS(Budget!$B$4:$B$107,$B206,Budget!$C$4:$C$107,$D206)=0),"NO BUDGET ",""))</f>
        <v/>
      </c>
      <c r="L206" s="83" t="str">
        <f aca="false">IF($K206="","OK",$K206)</f>
        <v>OK</v>
      </c>
      <c r="M206" s="47" t="str">
        <f aca="false">IF(EXACT($L206,$I206),"ok","CHECK")</f>
        <v>ok</v>
      </c>
    </row>
    <row r="207" customFormat="false" ht="12" hidden="false" customHeight="true" outlineLevel="0" collapsed="false">
      <c r="B207" s="50" t="s">
        <v>147</v>
      </c>
      <c r="C207" s="50" t="s">
        <v>238</v>
      </c>
      <c r="D207" s="79" t="s">
        <v>110</v>
      </c>
      <c r="E207" s="80" t="n">
        <v>46193</v>
      </c>
      <c r="F207" s="50" t="s">
        <v>513</v>
      </c>
      <c r="G207" s="81" t="s">
        <v>356</v>
      </c>
      <c r="H207" s="82" t="n">
        <v>1993.73</v>
      </c>
      <c r="I207" s="37" t="s">
        <v>226</v>
      </c>
      <c r="J207" s="37" t="s">
        <v>77</v>
      </c>
      <c r="K207" s="37" t="str">
        <f aca="false">TRIM(IF($B207="UNASSIGNED","NO COST CENTRE ","")&amp;IF(ISNA(MATCH($C207,Mapping!$B$7:$B$36,0)),"UNMAPPED ","")&amp;IF(COUNTIFS($C$4:$C207,$C207,$F$4:$F207,$F207,$H$4:$H207,$H207)&gt;1,"DUPLICATE ","")&amp;IF(AND(NOT(ISNA(MATCH($C207,Mapping!$B$7:$B$36,0))),$H207&lt;-'Control Panel'!$E$16),"CREDIT ","")&amp;IF(AND(NOT(ISNA(MATCH($C207,Mapping!$B$7:$B$36,0))),COUNTIFS(Budget!$B$4:$B$107,$B207,Budget!$C$4:$C$107,$D207)=0),"NO BUDGET ",""))</f>
        <v/>
      </c>
      <c r="L207" s="83" t="str">
        <f aca="false">IF($K207="","OK",$K207)</f>
        <v>OK</v>
      </c>
      <c r="M207" s="47" t="str">
        <f aca="false">IF(EXACT($L207,$I207),"ok","CHECK")</f>
        <v>ok</v>
      </c>
    </row>
    <row r="208" customFormat="false" ht="12" hidden="false" customHeight="true" outlineLevel="0" collapsed="false">
      <c r="B208" s="50" t="s">
        <v>147</v>
      </c>
      <c r="C208" s="50" t="s">
        <v>289</v>
      </c>
      <c r="D208" s="79" t="s">
        <v>111</v>
      </c>
      <c r="E208" s="80" t="n">
        <v>46194</v>
      </c>
      <c r="F208" s="50" t="s">
        <v>514</v>
      </c>
      <c r="G208" s="81" t="s">
        <v>288</v>
      </c>
      <c r="H208" s="82" t="n">
        <v>1796.12</v>
      </c>
      <c r="I208" s="37" t="s">
        <v>226</v>
      </c>
      <c r="J208" s="37" t="s">
        <v>77</v>
      </c>
      <c r="K208" s="37" t="str">
        <f aca="false">TRIM(IF($B208="UNASSIGNED","NO COST CENTRE ","")&amp;IF(ISNA(MATCH($C208,Mapping!$B$7:$B$36,0)),"UNMAPPED ","")&amp;IF(COUNTIFS($C$4:$C208,$C208,$F$4:$F208,$F208,$H$4:$H208,$H208)&gt;1,"DUPLICATE ","")&amp;IF(AND(NOT(ISNA(MATCH($C208,Mapping!$B$7:$B$36,0))),$H208&lt;-'Control Panel'!$E$16),"CREDIT ","")&amp;IF(AND(NOT(ISNA(MATCH($C208,Mapping!$B$7:$B$36,0))),COUNTIFS(Budget!$B$4:$B$107,$B208,Budget!$C$4:$C$107,$D208)=0),"NO BUDGET ",""))</f>
        <v/>
      </c>
      <c r="L208" s="83" t="str">
        <f aca="false">IF($K208="","OK",$K208)</f>
        <v>OK</v>
      </c>
      <c r="M208" s="47" t="str">
        <f aca="false">IF(EXACT($L208,$I208),"ok","CHECK")</f>
        <v>ok</v>
      </c>
    </row>
    <row r="209" customFormat="false" ht="12" hidden="false" customHeight="true" outlineLevel="0" collapsed="false">
      <c r="B209" s="50" t="s">
        <v>147</v>
      </c>
      <c r="C209" s="50" t="s">
        <v>247</v>
      </c>
      <c r="D209" s="79" t="s">
        <v>110</v>
      </c>
      <c r="E209" s="80" t="n">
        <v>46196</v>
      </c>
      <c r="F209" s="50" t="s">
        <v>515</v>
      </c>
      <c r="G209" s="81" t="s">
        <v>330</v>
      </c>
      <c r="H209" s="82" t="n">
        <v>1472.87</v>
      </c>
      <c r="I209" s="37" t="s">
        <v>226</v>
      </c>
      <c r="J209" s="37" t="s">
        <v>77</v>
      </c>
      <c r="K209" s="37" t="str">
        <f aca="false">TRIM(IF($B209="UNASSIGNED","NO COST CENTRE ","")&amp;IF(ISNA(MATCH($C209,Mapping!$B$7:$B$36,0)),"UNMAPPED ","")&amp;IF(COUNTIFS($C$4:$C209,$C209,$F$4:$F209,$F209,$H$4:$H209,$H209)&gt;1,"DUPLICATE ","")&amp;IF(AND(NOT(ISNA(MATCH($C209,Mapping!$B$7:$B$36,0))),$H209&lt;-'Control Panel'!$E$16),"CREDIT ","")&amp;IF(AND(NOT(ISNA(MATCH($C209,Mapping!$B$7:$B$36,0))),COUNTIFS(Budget!$B$4:$B$107,$B209,Budget!$C$4:$C$107,$D209)=0),"NO BUDGET ",""))</f>
        <v/>
      </c>
      <c r="L209" s="83" t="str">
        <f aca="false">IF($K209="","OK",$K209)</f>
        <v>OK</v>
      </c>
      <c r="M209" s="47" t="str">
        <f aca="false">IF(EXACT($L209,$I209),"ok","CHECK")</f>
        <v>ok</v>
      </c>
    </row>
    <row r="210" customFormat="false" ht="12" hidden="false" customHeight="true" outlineLevel="0" collapsed="false">
      <c r="B210" s="50" t="s">
        <v>147</v>
      </c>
      <c r="C210" s="50" t="s">
        <v>289</v>
      </c>
      <c r="D210" s="79" t="s">
        <v>111</v>
      </c>
      <c r="E210" s="80" t="n">
        <v>46196</v>
      </c>
      <c r="F210" s="50" t="s">
        <v>516</v>
      </c>
      <c r="G210" s="81" t="s">
        <v>246</v>
      </c>
      <c r="H210" s="82" t="n">
        <v>2654.92</v>
      </c>
      <c r="I210" s="37" t="s">
        <v>226</v>
      </c>
      <c r="J210" s="37" t="s">
        <v>77</v>
      </c>
      <c r="K210" s="37" t="str">
        <f aca="false">TRIM(IF($B210="UNASSIGNED","NO COST CENTRE ","")&amp;IF(ISNA(MATCH($C210,Mapping!$B$7:$B$36,0)),"UNMAPPED ","")&amp;IF(COUNTIFS($C$4:$C210,$C210,$F$4:$F210,$F210,$H$4:$H210,$H210)&gt;1,"DUPLICATE ","")&amp;IF(AND(NOT(ISNA(MATCH($C210,Mapping!$B$7:$B$36,0))),$H210&lt;-'Control Panel'!$E$16),"CREDIT ","")&amp;IF(AND(NOT(ISNA(MATCH($C210,Mapping!$B$7:$B$36,0))),COUNTIFS(Budget!$B$4:$B$107,$B210,Budget!$C$4:$C$107,$D210)=0),"NO BUDGET ",""))</f>
        <v/>
      </c>
      <c r="L210" s="83" t="str">
        <f aca="false">IF($K210="","OK",$K210)</f>
        <v>OK</v>
      </c>
      <c r="M210" s="47" t="str">
        <f aca="false">IF(EXACT($L210,$I210),"ok","CHECK")</f>
        <v>ok</v>
      </c>
    </row>
    <row r="211" customFormat="false" ht="12" hidden="false" customHeight="true" outlineLevel="0" collapsed="false">
      <c r="B211" s="50" t="s">
        <v>147</v>
      </c>
      <c r="C211" s="50" t="s">
        <v>337</v>
      </c>
      <c r="D211" s="79" t="s">
        <v>109</v>
      </c>
      <c r="E211" s="80" t="n">
        <v>46196</v>
      </c>
      <c r="F211" s="50" t="s">
        <v>517</v>
      </c>
      <c r="G211" s="81" t="s">
        <v>518</v>
      </c>
      <c r="H211" s="82" t="n">
        <v>-680.4</v>
      </c>
      <c r="I211" s="65" t="s">
        <v>346</v>
      </c>
      <c r="J211" s="37" t="s">
        <v>77</v>
      </c>
      <c r="K211" s="37" t="str">
        <f aca="false">TRIM(IF($B211="UNASSIGNED","NO COST CENTRE ","")&amp;IF(ISNA(MATCH($C211,Mapping!$B$7:$B$36,0)),"UNMAPPED ","")&amp;IF(COUNTIFS($C$4:$C211,$C211,$F$4:$F211,$F211,$H$4:$H211,$H211)&gt;1,"DUPLICATE ","")&amp;IF(AND(NOT(ISNA(MATCH($C211,Mapping!$B$7:$B$36,0))),$H211&lt;-'Control Panel'!$E$16),"CREDIT ","")&amp;IF(AND(NOT(ISNA(MATCH($C211,Mapping!$B$7:$B$36,0))),COUNTIFS(Budget!$B$4:$B$107,$B211,Budget!$C$4:$C$107,$D211)=0),"NO BUDGET ",""))</f>
        <v>CREDIT</v>
      </c>
      <c r="L211" s="83" t="str">
        <f aca="false">IF($K211="","OK",$K211)</f>
        <v>CREDIT</v>
      </c>
      <c r="M211" s="47" t="str">
        <f aca="false">IF(EXACT($L211,$I211),"ok","CHECK")</f>
        <v>ok</v>
      </c>
    </row>
    <row r="212" customFormat="false" ht="12" hidden="false" customHeight="true" outlineLevel="0" collapsed="false">
      <c r="B212" s="50" t="s">
        <v>147</v>
      </c>
      <c r="C212" s="50" t="s">
        <v>238</v>
      </c>
      <c r="D212" s="79" t="s">
        <v>110</v>
      </c>
      <c r="E212" s="80" t="n">
        <v>46196</v>
      </c>
      <c r="F212" s="50" t="s">
        <v>519</v>
      </c>
      <c r="G212" s="81" t="s">
        <v>240</v>
      </c>
      <c r="H212" s="82" t="n">
        <v>892.34</v>
      </c>
      <c r="I212" s="37" t="s">
        <v>226</v>
      </c>
      <c r="J212" s="37" t="s">
        <v>77</v>
      </c>
      <c r="K212" s="37" t="str">
        <f aca="false">TRIM(IF($B212="UNASSIGNED","NO COST CENTRE ","")&amp;IF(ISNA(MATCH($C212,Mapping!$B$7:$B$36,0)),"UNMAPPED ","")&amp;IF(COUNTIFS($C$4:$C212,$C212,$F$4:$F212,$F212,$H$4:$H212,$H212)&gt;1,"DUPLICATE ","")&amp;IF(AND(NOT(ISNA(MATCH($C212,Mapping!$B$7:$B$36,0))),$H212&lt;-'Control Panel'!$E$16),"CREDIT ","")&amp;IF(AND(NOT(ISNA(MATCH($C212,Mapping!$B$7:$B$36,0))),COUNTIFS(Budget!$B$4:$B$107,$B212,Budget!$C$4:$C$107,$D212)=0),"NO BUDGET ",""))</f>
        <v/>
      </c>
      <c r="L212" s="83" t="str">
        <f aca="false">IF($K212="","OK",$K212)</f>
        <v>OK</v>
      </c>
      <c r="M212" s="47" t="str">
        <f aca="false">IF(EXACT($L212,$I212),"ok","CHECK")</f>
        <v>ok</v>
      </c>
    </row>
    <row r="213" customFormat="false" ht="12" hidden="false" customHeight="true" outlineLevel="0" collapsed="false">
      <c r="B213" s="50" t="s">
        <v>147</v>
      </c>
      <c r="C213" s="50" t="s">
        <v>235</v>
      </c>
      <c r="D213" s="79" t="s">
        <v>122</v>
      </c>
      <c r="E213" s="80" t="n">
        <v>46197</v>
      </c>
      <c r="F213" s="50" t="s">
        <v>520</v>
      </c>
      <c r="G213" s="81" t="s">
        <v>237</v>
      </c>
      <c r="H213" s="82" t="n">
        <v>12732.32</v>
      </c>
      <c r="I213" s="37" t="s">
        <v>226</v>
      </c>
      <c r="J213" s="37" t="s">
        <v>77</v>
      </c>
      <c r="K213" s="37" t="str">
        <f aca="false">TRIM(IF($B213="UNASSIGNED","NO COST CENTRE ","")&amp;IF(ISNA(MATCH($C213,Mapping!$B$7:$B$36,0)),"UNMAPPED ","")&amp;IF(COUNTIFS($C$4:$C213,$C213,$F$4:$F213,$F213,$H$4:$H213,$H213)&gt;1,"DUPLICATE ","")&amp;IF(AND(NOT(ISNA(MATCH($C213,Mapping!$B$7:$B$36,0))),$H213&lt;-'Control Panel'!$E$16),"CREDIT ","")&amp;IF(AND(NOT(ISNA(MATCH($C213,Mapping!$B$7:$B$36,0))),COUNTIFS(Budget!$B$4:$B$107,$B213,Budget!$C$4:$C$107,$D213)=0),"NO BUDGET ",""))</f>
        <v/>
      </c>
      <c r="L213" s="83" t="str">
        <f aca="false">IF($K213="","OK",$K213)</f>
        <v>OK</v>
      </c>
      <c r="M213" s="47" t="str">
        <f aca="false">IF(EXACT($L213,$I213),"ok","CHECK")</f>
        <v>ok</v>
      </c>
    </row>
    <row r="214" customFormat="false" ht="12" hidden="false" customHeight="true" outlineLevel="0" collapsed="false">
      <c r="B214" s="50" t="s">
        <v>147</v>
      </c>
      <c r="C214" s="50" t="s">
        <v>244</v>
      </c>
      <c r="D214" s="79" t="s">
        <v>111</v>
      </c>
      <c r="E214" s="80" t="n">
        <v>46197</v>
      </c>
      <c r="F214" s="50" t="s">
        <v>521</v>
      </c>
      <c r="G214" s="81" t="s">
        <v>342</v>
      </c>
      <c r="H214" s="82" t="n">
        <v>1964.8</v>
      </c>
      <c r="I214" s="37" t="s">
        <v>226</v>
      </c>
      <c r="J214" s="37" t="s">
        <v>77</v>
      </c>
      <c r="K214" s="37" t="str">
        <f aca="false">TRIM(IF($B214="UNASSIGNED","NO COST CENTRE ","")&amp;IF(ISNA(MATCH($C214,Mapping!$B$7:$B$36,0)),"UNMAPPED ","")&amp;IF(COUNTIFS($C$4:$C214,$C214,$F$4:$F214,$F214,$H$4:$H214,$H214)&gt;1,"DUPLICATE ","")&amp;IF(AND(NOT(ISNA(MATCH($C214,Mapping!$B$7:$B$36,0))),$H214&lt;-'Control Panel'!$E$16),"CREDIT ","")&amp;IF(AND(NOT(ISNA(MATCH($C214,Mapping!$B$7:$B$36,0))),COUNTIFS(Budget!$B$4:$B$107,$B214,Budget!$C$4:$C$107,$D214)=0),"NO BUDGET ",""))</f>
        <v/>
      </c>
      <c r="L214" s="83" t="str">
        <f aca="false">IF($K214="","OK",$K214)</f>
        <v>OK</v>
      </c>
      <c r="M214" s="47" t="str">
        <f aca="false">IF(EXACT($L214,$I214),"ok","CHECK")</f>
        <v>ok</v>
      </c>
    </row>
    <row r="215" customFormat="false" ht="12" hidden="false" customHeight="true" outlineLevel="0" collapsed="false">
      <c r="B215" s="50" t="s">
        <v>147</v>
      </c>
      <c r="C215" s="50" t="s">
        <v>247</v>
      </c>
      <c r="D215" s="79" t="s">
        <v>110</v>
      </c>
      <c r="E215" s="80" t="n">
        <v>46198</v>
      </c>
      <c r="F215" s="50" t="s">
        <v>522</v>
      </c>
      <c r="G215" s="81" t="s">
        <v>330</v>
      </c>
      <c r="H215" s="82" t="n">
        <v>947.37</v>
      </c>
      <c r="I215" s="37" t="s">
        <v>226</v>
      </c>
      <c r="J215" s="37" t="s">
        <v>77</v>
      </c>
      <c r="K215" s="37" t="str">
        <f aca="false">TRIM(IF($B215="UNASSIGNED","NO COST CENTRE ","")&amp;IF(ISNA(MATCH($C215,Mapping!$B$7:$B$36,0)),"UNMAPPED ","")&amp;IF(COUNTIFS($C$4:$C215,$C215,$F$4:$F215,$F215,$H$4:$H215,$H215)&gt;1,"DUPLICATE ","")&amp;IF(AND(NOT(ISNA(MATCH($C215,Mapping!$B$7:$B$36,0))),$H215&lt;-'Control Panel'!$E$16),"CREDIT ","")&amp;IF(AND(NOT(ISNA(MATCH($C215,Mapping!$B$7:$B$36,0))),COUNTIFS(Budget!$B$4:$B$107,$B215,Budget!$C$4:$C$107,$D215)=0),"NO BUDGET ",""))</f>
        <v/>
      </c>
      <c r="L215" s="83" t="str">
        <f aca="false">IF($K215="","OK",$K215)</f>
        <v>OK</v>
      </c>
      <c r="M215" s="47" t="str">
        <f aca="false">IF(EXACT($L215,$I215),"ok","CHECK")</f>
        <v>ok</v>
      </c>
    </row>
    <row r="216" customFormat="false" ht="12" hidden="false" customHeight="true" outlineLevel="0" collapsed="false">
      <c r="B216" s="50" t="s">
        <v>147</v>
      </c>
      <c r="C216" s="50" t="s">
        <v>238</v>
      </c>
      <c r="D216" s="79" t="s">
        <v>110</v>
      </c>
      <c r="E216" s="80" t="n">
        <v>46198</v>
      </c>
      <c r="F216" s="50" t="s">
        <v>523</v>
      </c>
      <c r="G216" s="81" t="s">
        <v>249</v>
      </c>
      <c r="H216" s="82" t="n">
        <v>2060.6</v>
      </c>
      <c r="I216" s="37" t="s">
        <v>226</v>
      </c>
      <c r="J216" s="37" t="s">
        <v>77</v>
      </c>
      <c r="K216" s="37" t="str">
        <f aca="false">TRIM(IF($B216="UNASSIGNED","NO COST CENTRE ","")&amp;IF(ISNA(MATCH($C216,Mapping!$B$7:$B$36,0)),"UNMAPPED ","")&amp;IF(COUNTIFS($C$4:$C216,$C216,$F$4:$F216,$F216,$H$4:$H216,$H216)&gt;1,"DUPLICATE ","")&amp;IF(AND(NOT(ISNA(MATCH($C216,Mapping!$B$7:$B$36,0))),$H216&lt;-'Control Panel'!$E$16),"CREDIT ","")&amp;IF(AND(NOT(ISNA(MATCH($C216,Mapping!$B$7:$B$36,0))),COUNTIFS(Budget!$B$4:$B$107,$B216,Budget!$C$4:$C$107,$D216)=0),"NO BUDGET ",""))</f>
        <v/>
      </c>
      <c r="L216" s="83" t="str">
        <f aca="false">IF($K216="","OK",$K216)</f>
        <v>OK</v>
      </c>
      <c r="M216" s="47" t="str">
        <f aca="false">IF(EXACT($L216,$I216),"ok","CHECK")</f>
        <v>ok</v>
      </c>
    </row>
    <row r="217" customFormat="false" ht="12" hidden="false" customHeight="true" outlineLevel="0" collapsed="false">
      <c r="B217" s="50" t="s">
        <v>147</v>
      </c>
      <c r="C217" s="50" t="s">
        <v>524</v>
      </c>
      <c r="D217" s="79" t="s">
        <v>118</v>
      </c>
      <c r="E217" s="80" t="n">
        <v>46199</v>
      </c>
      <c r="F217" s="50" t="s">
        <v>525</v>
      </c>
      <c r="G217" s="81" t="s">
        <v>526</v>
      </c>
      <c r="H217" s="82" t="n">
        <v>676.93</v>
      </c>
      <c r="I217" s="37" t="s">
        <v>226</v>
      </c>
      <c r="J217" s="37" t="s">
        <v>77</v>
      </c>
      <c r="K217" s="37" t="str">
        <f aca="false">TRIM(IF($B217="UNASSIGNED","NO COST CENTRE ","")&amp;IF(ISNA(MATCH($C217,Mapping!$B$7:$B$36,0)),"UNMAPPED ","")&amp;IF(COUNTIFS($C$4:$C217,$C217,$F$4:$F217,$F217,$H$4:$H217,$H217)&gt;1,"DUPLICATE ","")&amp;IF(AND(NOT(ISNA(MATCH($C217,Mapping!$B$7:$B$36,0))),$H217&lt;-'Control Panel'!$E$16),"CREDIT ","")&amp;IF(AND(NOT(ISNA(MATCH($C217,Mapping!$B$7:$B$36,0))),COUNTIFS(Budget!$B$4:$B$107,$B217,Budget!$C$4:$C$107,$D217)=0),"NO BUDGET ",""))</f>
        <v/>
      </c>
      <c r="L217" s="83" t="str">
        <f aca="false">IF($K217="","OK",$K217)</f>
        <v>OK</v>
      </c>
      <c r="M217" s="47" t="str">
        <f aca="false">IF(EXACT($L217,$I217),"ok","CHECK")</f>
        <v>ok</v>
      </c>
    </row>
    <row r="218" customFormat="false" ht="12" hidden="false" customHeight="true" outlineLevel="0" collapsed="false">
      <c r="B218" s="50" t="s">
        <v>147</v>
      </c>
      <c r="C218" s="50" t="s">
        <v>305</v>
      </c>
      <c r="D218" s="79" t="s">
        <v>115</v>
      </c>
      <c r="E218" s="80" t="n">
        <v>46200</v>
      </c>
      <c r="F218" s="50" t="s">
        <v>527</v>
      </c>
      <c r="G218" s="81" t="s">
        <v>252</v>
      </c>
      <c r="H218" s="82" t="n">
        <v>841.93</v>
      </c>
      <c r="I218" s="37" t="s">
        <v>226</v>
      </c>
      <c r="J218" s="37" t="s">
        <v>77</v>
      </c>
      <c r="K218" s="37" t="str">
        <f aca="false">TRIM(IF($B218="UNASSIGNED","NO COST CENTRE ","")&amp;IF(ISNA(MATCH($C218,Mapping!$B$7:$B$36,0)),"UNMAPPED ","")&amp;IF(COUNTIFS($C$4:$C218,$C218,$F$4:$F218,$F218,$H$4:$H218,$H218)&gt;1,"DUPLICATE ","")&amp;IF(AND(NOT(ISNA(MATCH($C218,Mapping!$B$7:$B$36,0))),$H218&lt;-'Control Panel'!$E$16),"CREDIT ","")&amp;IF(AND(NOT(ISNA(MATCH($C218,Mapping!$B$7:$B$36,0))),COUNTIFS(Budget!$B$4:$B$107,$B218,Budget!$C$4:$C$107,$D218)=0),"NO BUDGET ",""))</f>
        <v/>
      </c>
      <c r="L218" s="83" t="str">
        <f aca="false">IF($K218="","OK",$K218)</f>
        <v>OK</v>
      </c>
      <c r="M218" s="47" t="str">
        <f aca="false">IF(EXACT($L218,$I218),"ok","CHECK")</f>
        <v>ok</v>
      </c>
    </row>
    <row r="219" customFormat="false" ht="12" hidden="false" customHeight="true" outlineLevel="0" collapsed="false">
      <c r="B219" s="50" t="s">
        <v>147</v>
      </c>
      <c r="C219" s="50" t="s">
        <v>241</v>
      </c>
      <c r="D219" s="79" t="s">
        <v>111</v>
      </c>
      <c r="E219" s="80" t="n">
        <v>46200</v>
      </c>
      <c r="F219" s="50" t="s">
        <v>528</v>
      </c>
      <c r="G219" s="81" t="s">
        <v>360</v>
      </c>
      <c r="H219" s="82" t="n">
        <v>1050.09</v>
      </c>
      <c r="I219" s="37" t="s">
        <v>226</v>
      </c>
      <c r="J219" s="37" t="s">
        <v>77</v>
      </c>
      <c r="K219" s="37" t="str">
        <f aca="false">TRIM(IF($B219="UNASSIGNED","NO COST CENTRE ","")&amp;IF(ISNA(MATCH($C219,Mapping!$B$7:$B$36,0)),"UNMAPPED ","")&amp;IF(COUNTIFS($C$4:$C219,$C219,$F$4:$F219,$F219,$H$4:$H219,$H219)&gt;1,"DUPLICATE ","")&amp;IF(AND(NOT(ISNA(MATCH($C219,Mapping!$B$7:$B$36,0))),$H219&lt;-'Control Panel'!$E$16),"CREDIT ","")&amp;IF(AND(NOT(ISNA(MATCH($C219,Mapping!$B$7:$B$36,0))),COUNTIFS(Budget!$B$4:$B$107,$B219,Budget!$C$4:$C$107,$D219)=0),"NO BUDGET ",""))</f>
        <v/>
      </c>
      <c r="L219" s="83" t="str">
        <f aca="false">IF($K219="","OK",$K219)</f>
        <v>OK</v>
      </c>
      <c r="M219" s="47" t="str">
        <f aca="false">IF(EXACT($L219,$I219),"ok","CHECK")</f>
        <v>ok</v>
      </c>
    </row>
    <row r="220" customFormat="false" ht="12" hidden="false" customHeight="true" outlineLevel="0" collapsed="false">
      <c r="B220" s="50" t="s">
        <v>147</v>
      </c>
      <c r="C220" s="50" t="s">
        <v>241</v>
      </c>
      <c r="D220" s="79" t="s">
        <v>111</v>
      </c>
      <c r="E220" s="80" t="n">
        <v>46201</v>
      </c>
      <c r="F220" s="50" t="s">
        <v>529</v>
      </c>
      <c r="G220" s="81" t="s">
        <v>318</v>
      </c>
      <c r="H220" s="82" t="n">
        <v>1316.75</v>
      </c>
      <c r="I220" s="37" t="s">
        <v>226</v>
      </c>
      <c r="J220" s="37" t="s">
        <v>77</v>
      </c>
      <c r="K220" s="37" t="str">
        <f aca="false">TRIM(IF($B220="UNASSIGNED","NO COST CENTRE ","")&amp;IF(ISNA(MATCH($C220,Mapping!$B$7:$B$36,0)),"UNMAPPED ","")&amp;IF(COUNTIFS($C$4:$C220,$C220,$F$4:$F220,$F220,$H$4:$H220,$H220)&gt;1,"DUPLICATE ","")&amp;IF(AND(NOT(ISNA(MATCH($C220,Mapping!$B$7:$B$36,0))),$H220&lt;-'Control Panel'!$E$16),"CREDIT ","")&amp;IF(AND(NOT(ISNA(MATCH($C220,Mapping!$B$7:$B$36,0))),COUNTIFS(Budget!$B$4:$B$107,$B220,Budget!$C$4:$C$107,$D220)=0),"NO BUDGET ",""))</f>
        <v/>
      </c>
      <c r="L220" s="83" t="str">
        <f aca="false">IF($K220="","OK",$K220)</f>
        <v>OK</v>
      </c>
      <c r="M220" s="47" t="str">
        <f aca="false">IF(EXACT($L220,$I220),"ok","CHECK")</f>
        <v>ok</v>
      </c>
    </row>
    <row r="221" customFormat="false" ht="12" hidden="false" customHeight="true" outlineLevel="0" collapsed="false">
      <c r="B221" s="50" t="s">
        <v>147</v>
      </c>
      <c r="C221" s="50" t="s">
        <v>247</v>
      </c>
      <c r="D221" s="79" t="s">
        <v>110</v>
      </c>
      <c r="E221" s="80" t="n">
        <v>46201</v>
      </c>
      <c r="F221" s="50" t="s">
        <v>530</v>
      </c>
      <c r="G221" s="81" t="s">
        <v>356</v>
      </c>
      <c r="H221" s="82" t="n">
        <v>1744.89</v>
      </c>
      <c r="I221" s="37" t="s">
        <v>226</v>
      </c>
      <c r="J221" s="37" t="s">
        <v>77</v>
      </c>
      <c r="K221" s="37" t="str">
        <f aca="false">TRIM(IF($B221="UNASSIGNED","NO COST CENTRE ","")&amp;IF(ISNA(MATCH($C221,Mapping!$B$7:$B$36,0)),"UNMAPPED ","")&amp;IF(COUNTIFS($C$4:$C221,$C221,$F$4:$F221,$F221,$H$4:$H221,$H221)&gt;1,"DUPLICATE ","")&amp;IF(AND(NOT(ISNA(MATCH($C221,Mapping!$B$7:$B$36,0))),$H221&lt;-'Control Panel'!$E$16),"CREDIT ","")&amp;IF(AND(NOT(ISNA(MATCH($C221,Mapping!$B$7:$B$36,0))),COUNTIFS(Budget!$B$4:$B$107,$B221,Budget!$C$4:$C$107,$D221)=0),"NO BUDGET ",""))</f>
        <v/>
      </c>
      <c r="L221" s="83" t="str">
        <f aca="false">IF($K221="","OK",$K221)</f>
        <v>OK</v>
      </c>
      <c r="M221" s="47" t="str">
        <f aca="false">IF(EXACT($L221,$I221),"ok","CHECK")</f>
        <v>ok</v>
      </c>
    </row>
    <row r="222" customFormat="false" ht="12" hidden="false" customHeight="true" outlineLevel="0" collapsed="false">
      <c r="B222" s="50" t="s">
        <v>147</v>
      </c>
      <c r="C222" s="50" t="s">
        <v>238</v>
      </c>
      <c r="D222" s="79" t="s">
        <v>110</v>
      </c>
      <c r="E222" s="80" t="n">
        <v>46202</v>
      </c>
      <c r="F222" s="50" t="s">
        <v>531</v>
      </c>
      <c r="G222" s="81" t="s">
        <v>270</v>
      </c>
      <c r="H222" s="82" t="n">
        <v>1584.09</v>
      </c>
      <c r="I222" s="37" t="s">
        <v>226</v>
      </c>
      <c r="J222" s="37" t="s">
        <v>77</v>
      </c>
      <c r="K222" s="37" t="str">
        <f aca="false">TRIM(IF($B222="UNASSIGNED","NO COST CENTRE ","")&amp;IF(ISNA(MATCH($C222,Mapping!$B$7:$B$36,0)),"UNMAPPED ","")&amp;IF(COUNTIFS($C$4:$C222,$C222,$F$4:$F222,$F222,$H$4:$H222,$H222)&gt;1,"DUPLICATE ","")&amp;IF(AND(NOT(ISNA(MATCH($C222,Mapping!$B$7:$B$36,0))),$H222&lt;-'Control Panel'!$E$16),"CREDIT ","")&amp;IF(AND(NOT(ISNA(MATCH($C222,Mapping!$B$7:$B$36,0))),COUNTIFS(Budget!$B$4:$B$107,$B222,Budget!$C$4:$C$107,$D222)=0),"NO BUDGET ",""))</f>
        <v/>
      </c>
      <c r="L222" s="83" t="str">
        <f aca="false">IF($K222="","OK",$K222)</f>
        <v>OK</v>
      </c>
      <c r="M222" s="47" t="str">
        <f aca="false">IF(EXACT($L222,$I222),"ok","CHECK")</f>
        <v>ok</v>
      </c>
    </row>
    <row r="223" customFormat="false" ht="12" hidden="false" customHeight="true" outlineLevel="0" collapsed="false">
      <c r="B223" s="50" t="s">
        <v>147</v>
      </c>
      <c r="C223" s="50" t="s">
        <v>305</v>
      </c>
      <c r="D223" s="79" t="s">
        <v>115</v>
      </c>
      <c r="E223" s="80" t="n">
        <v>46203</v>
      </c>
      <c r="F223" s="50" t="s">
        <v>532</v>
      </c>
      <c r="G223" s="81" t="s">
        <v>328</v>
      </c>
      <c r="H223" s="82" t="n">
        <v>944.45</v>
      </c>
      <c r="I223" s="37" t="s">
        <v>226</v>
      </c>
      <c r="J223" s="37" t="s">
        <v>77</v>
      </c>
      <c r="K223" s="37" t="str">
        <f aca="false">TRIM(IF($B223="UNASSIGNED","NO COST CENTRE ","")&amp;IF(ISNA(MATCH($C223,Mapping!$B$7:$B$36,0)),"UNMAPPED ","")&amp;IF(COUNTIFS($C$4:$C223,$C223,$F$4:$F223,$F223,$H$4:$H223,$H223)&gt;1,"DUPLICATE ","")&amp;IF(AND(NOT(ISNA(MATCH($C223,Mapping!$B$7:$B$36,0))),$H223&lt;-'Control Panel'!$E$16),"CREDIT ","")&amp;IF(AND(NOT(ISNA(MATCH($C223,Mapping!$B$7:$B$36,0))),COUNTIFS(Budget!$B$4:$B$107,$B223,Budget!$C$4:$C$107,$D223)=0),"NO BUDGET ",""))</f>
        <v/>
      </c>
      <c r="L223" s="83" t="str">
        <f aca="false">IF($K223="","OK",$K223)</f>
        <v>OK</v>
      </c>
      <c r="M223" s="47" t="str">
        <f aca="false">IF(EXACT($L223,$I223),"ok","CHECK")</f>
        <v>ok</v>
      </c>
    </row>
    <row r="224" customFormat="false" ht="12" hidden="false" customHeight="true" outlineLevel="0" collapsed="false">
      <c r="B224" s="50" t="s">
        <v>147</v>
      </c>
      <c r="C224" s="50" t="s">
        <v>266</v>
      </c>
      <c r="D224" s="79" t="s">
        <v>109</v>
      </c>
      <c r="E224" s="80" t="n">
        <v>46203</v>
      </c>
      <c r="F224" s="50" t="s">
        <v>533</v>
      </c>
      <c r="G224" s="81" t="s">
        <v>304</v>
      </c>
      <c r="H224" s="82" t="n">
        <v>1874.38</v>
      </c>
      <c r="I224" s="37" t="s">
        <v>226</v>
      </c>
      <c r="J224" s="37" t="s">
        <v>77</v>
      </c>
      <c r="K224" s="37" t="str">
        <f aca="false">TRIM(IF($B224="UNASSIGNED","NO COST CENTRE ","")&amp;IF(ISNA(MATCH($C224,Mapping!$B$7:$B$36,0)),"UNMAPPED ","")&amp;IF(COUNTIFS($C$4:$C224,$C224,$F$4:$F224,$F224,$H$4:$H224,$H224)&gt;1,"DUPLICATE ","")&amp;IF(AND(NOT(ISNA(MATCH($C224,Mapping!$B$7:$B$36,0))),$H224&lt;-'Control Panel'!$E$16),"CREDIT ","")&amp;IF(AND(NOT(ISNA(MATCH($C224,Mapping!$B$7:$B$36,0))),COUNTIFS(Budget!$B$4:$B$107,$B224,Budget!$C$4:$C$107,$D224)=0),"NO BUDGET ",""))</f>
        <v/>
      </c>
      <c r="L224" s="83" t="str">
        <f aca="false">IF($K224="","OK",$K224)</f>
        <v>OK</v>
      </c>
      <c r="M224" s="47" t="str">
        <f aca="false">IF(EXACT($L224,$I224),"ok","CHECK")</f>
        <v>ok</v>
      </c>
    </row>
    <row r="225" customFormat="false" ht="12" hidden="false" customHeight="true" outlineLevel="0" collapsed="false">
      <c r="B225" s="50" t="s">
        <v>148</v>
      </c>
      <c r="C225" s="50" t="s">
        <v>230</v>
      </c>
      <c r="D225" s="79" t="s">
        <v>115</v>
      </c>
      <c r="E225" s="80" t="n">
        <v>46176</v>
      </c>
      <c r="F225" s="50" t="s">
        <v>534</v>
      </c>
      <c r="G225" s="81" t="s">
        <v>440</v>
      </c>
      <c r="H225" s="82" t="n">
        <v>909.06</v>
      </c>
      <c r="I225" s="37" t="s">
        <v>226</v>
      </c>
      <c r="J225" s="37" t="s">
        <v>77</v>
      </c>
      <c r="K225" s="37" t="str">
        <f aca="false">TRIM(IF($B225="UNASSIGNED","NO COST CENTRE ","")&amp;IF(ISNA(MATCH($C225,Mapping!$B$7:$B$36,0)),"UNMAPPED ","")&amp;IF(COUNTIFS($C$4:$C225,$C225,$F$4:$F225,$F225,$H$4:$H225,$H225)&gt;1,"DUPLICATE ","")&amp;IF(AND(NOT(ISNA(MATCH($C225,Mapping!$B$7:$B$36,0))),$H225&lt;-'Control Panel'!$E$16),"CREDIT ","")&amp;IF(AND(NOT(ISNA(MATCH($C225,Mapping!$B$7:$B$36,0))),COUNTIFS(Budget!$B$4:$B$107,$B225,Budget!$C$4:$C$107,$D225)=0),"NO BUDGET ",""))</f>
        <v/>
      </c>
      <c r="L225" s="83" t="str">
        <f aca="false">IF($K225="","OK",$K225)</f>
        <v>OK</v>
      </c>
      <c r="M225" s="47" t="str">
        <f aca="false">IF(EXACT($L225,$I225),"ok","CHECK")</f>
        <v>ok</v>
      </c>
    </row>
    <row r="226" customFormat="false" ht="12" hidden="false" customHeight="true" outlineLevel="0" collapsed="false">
      <c r="B226" s="50" t="s">
        <v>148</v>
      </c>
      <c r="C226" s="50" t="s">
        <v>241</v>
      </c>
      <c r="D226" s="79" t="s">
        <v>111</v>
      </c>
      <c r="E226" s="80" t="n">
        <v>46176</v>
      </c>
      <c r="F226" s="50" t="s">
        <v>535</v>
      </c>
      <c r="G226" s="81" t="s">
        <v>288</v>
      </c>
      <c r="H226" s="82" t="n">
        <v>1251.41</v>
      </c>
      <c r="I226" s="37" t="s">
        <v>226</v>
      </c>
      <c r="J226" s="37" t="s">
        <v>77</v>
      </c>
      <c r="K226" s="37" t="str">
        <f aca="false">TRIM(IF($B226="UNASSIGNED","NO COST CENTRE ","")&amp;IF(ISNA(MATCH($C226,Mapping!$B$7:$B$36,0)),"UNMAPPED ","")&amp;IF(COUNTIFS($C$4:$C226,$C226,$F$4:$F226,$F226,$H$4:$H226,$H226)&gt;1,"DUPLICATE ","")&amp;IF(AND(NOT(ISNA(MATCH($C226,Mapping!$B$7:$B$36,0))),$H226&lt;-'Control Panel'!$E$16),"CREDIT ","")&amp;IF(AND(NOT(ISNA(MATCH($C226,Mapping!$B$7:$B$36,0))),COUNTIFS(Budget!$B$4:$B$107,$B226,Budget!$C$4:$C$107,$D226)=0),"NO BUDGET ",""))</f>
        <v/>
      </c>
      <c r="L226" s="83" t="str">
        <f aca="false">IF($K226="","OK",$K226)</f>
        <v>OK</v>
      </c>
      <c r="M226" s="47" t="str">
        <f aca="false">IF(EXACT($L226,$I226),"ok","CHECK")</f>
        <v>ok</v>
      </c>
    </row>
    <row r="227" customFormat="false" ht="12" hidden="false" customHeight="true" outlineLevel="0" collapsed="false">
      <c r="B227" s="50" t="s">
        <v>148</v>
      </c>
      <c r="C227" s="50" t="s">
        <v>238</v>
      </c>
      <c r="D227" s="79" t="s">
        <v>110</v>
      </c>
      <c r="E227" s="80" t="n">
        <v>46178</v>
      </c>
      <c r="F227" s="50" t="s">
        <v>536</v>
      </c>
      <c r="G227" s="81" t="s">
        <v>249</v>
      </c>
      <c r="H227" s="82" t="n">
        <v>890.23</v>
      </c>
      <c r="I227" s="37" t="s">
        <v>226</v>
      </c>
      <c r="J227" s="37" t="s">
        <v>77</v>
      </c>
      <c r="K227" s="37" t="str">
        <f aca="false">TRIM(IF($B227="UNASSIGNED","NO COST CENTRE ","")&amp;IF(ISNA(MATCH($C227,Mapping!$B$7:$B$36,0)),"UNMAPPED ","")&amp;IF(COUNTIFS($C$4:$C227,$C227,$F$4:$F227,$F227,$H$4:$H227,$H227)&gt;1,"DUPLICATE ","")&amp;IF(AND(NOT(ISNA(MATCH($C227,Mapping!$B$7:$B$36,0))),$H227&lt;-'Control Panel'!$E$16),"CREDIT ","")&amp;IF(AND(NOT(ISNA(MATCH($C227,Mapping!$B$7:$B$36,0))),COUNTIFS(Budget!$B$4:$B$107,$B227,Budget!$C$4:$C$107,$D227)=0),"NO BUDGET ",""))</f>
        <v/>
      </c>
      <c r="L227" s="83" t="str">
        <f aca="false">IF($K227="","OK",$K227)</f>
        <v>OK</v>
      </c>
      <c r="M227" s="47" t="str">
        <f aca="false">IF(EXACT($L227,$I227),"ok","CHECK")</f>
        <v>ok</v>
      </c>
    </row>
    <row r="228" customFormat="false" ht="12" hidden="false" customHeight="true" outlineLevel="0" collapsed="false">
      <c r="B228" s="50" t="s">
        <v>148</v>
      </c>
      <c r="C228" s="50" t="s">
        <v>377</v>
      </c>
      <c r="D228" s="79" t="s">
        <v>114</v>
      </c>
      <c r="E228" s="80" t="n">
        <v>46179</v>
      </c>
      <c r="F228" s="50" t="s">
        <v>537</v>
      </c>
      <c r="G228" s="81" t="s">
        <v>538</v>
      </c>
      <c r="H228" s="82" t="n">
        <v>483.52</v>
      </c>
      <c r="I228" s="37" t="s">
        <v>226</v>
      </c>
      <c r="J228" s="37" t="s">
        <v>77</v>
      </c>
      <c r="K228" s="37" t="str">
        <f aca="false">TRIM(IF($B228="UNASSIGNED","NO COST CENTRE ","")&amp;IF(ISNA(MATCH($C228,Mapping!$B$7:$B$36,0)),"UNMAPPED ","")&amp;IF(COUNTIFS($C$4:$C228,$C228,$F$4:$F228,$F228,$H$4:$H228,$H228)&gt;1,"DUPLICATE ","")&amp;IF(AND(NOT(ISNA(MATCH($C228,Mapping!$B$7:$B$36,0))),$H228&lt;-'Control Panel'!$E$16),"CREDIT ","")&amp;IF(AND(NOT(ISNA(MATCH($C228,Mapping!$B$7:$B$36,0))),COUNTIFS(Budget!$B$4:$B$107,$B228,Budget!$C$4:$C$107,$D228)=0),"NO BUDGET ",""))</f>
        <v/>
      </c>
      <c r="L228" s="83" t="str">
        <f aca="false">IF($K228="","OK",$K228)</f>
        <v>OK</v>
      </c>
      <c r="M228" s="47" t="str">
        <f aca="false">IF(EXACT($L228,$I228),"ok","CHECK")</f>
        <v>ok</v>
      </c>
    </row>
    <row r="229" customFormat="false" ht="12" hidden="false" customHeight="true" outlineLevel="0" collapsed="false">
      <c r="B229" s="50" t="s">
        <v>148</v>
      </c>
      <c r="C229" s="50" t="s">
        <v>238</v>
      </c>
      <c r="D229" s="79" t="s">
        <v>110</v>
      </c>
      <c r="E229" s="80" t="n">
        <v>46180</v>
      </c>
      <c r="F229" s="50" t="s">
        <v>539</v>
      </c>
      <c r="G229" s="81" t="s">
        <v>356</v>
      </c>
      <c r="H229" s="82" t="n">
        <v>1595.64</v>
      </c>
      <c r="I229" s="37" t="s">
        <v>226</v>
      </c>
      <c r="J229" s="37" t="s">
        <v>77</v>
      </c>
      <c r="K229" s="37" t="str">
        <f aca="false">TRIM(IF($B229="UNASSIGNED","NO COST CENTRE ","")&amp;IF(ISNA(MATCH($C229,Mapping!$B$7:$B$36,0)),"UNMAPPED ","")&amp;IF(COUNTIFS($C$4:$C229,$C229,$F$4:$F229,$F229,$H$4:$H229,$H229)&gt;1,"DUPLICATE ","")&amp;IF(AND(NOT(ISNA(MATCH($C229,Mapping!$B$7:$B$36,0))),$H229&lt;-'Control Panel'!$E$16),"CREDIT ","")&amp;IF(AND(NOT(ISNA(MATCH($C229,Mapping!$B$7:$B$36,0))),COUNTIFS(Budget!$B$4:$B$107,$B229,Budget!$C$4:$C$107,$D229)=0),"NO BUDGET ",""))</f>
        <v/>
      </c>
      <c r="L229" s="83" t="str">
        <f aca="false">IF($K229="","OK",$K229)</f>
        <v>OK</v>
      </c>
      <c r="M229" s="47" t="str">
        <f aca="false">IF(EXACT($L229,$I229),"ok","CHECK")</f>
        <v>ok</v>
      </c>
    </row>
    <row r="230" customFormat="false" ht="12" hidden="false" customHeight="true" outlineLevel="0" collapsed="false">
      <c r="B230" s="50" t="s">
        <v>148</v>
      </c>
      <c r="C230" s="50" t="s">
        <v>250</v>
      </c>
      <c r="D230" s="79" t="s">
        <v>115</v>
      </c>
      <c r="E230" s="80" t="n">
        <v>46180</v>
      </c>
      <c r="F230" s="50" t="s">
        <v>540</v>
      </c>
      <c r="G230" s="81" t="s">
        <v>440</v>
      </c>
      <c r="H230" s="82" t="n">
        <v>1288.65</v>
      </c>
      <c r="I230" s="37" t="s">
        <v>226</v>
      </c>
      <c r="J230" s="37" t="s">
        <v>77</v>
      </c>
      <c r="K230" s="37" t="str">
        <f aca="false">TRIM(IF($B230="UNASSIGNED","NO COST CENTRE ","")&amp;IF(ISNA(MATCH($C230,Mapping!$B$7:$B$36,0)),"UNMAPPED ","")&amp;IF(COUNTIFS($C$4:$C230,$C230,$F$4:$F230,$F230,$H$4:$H230,$H230)&gt;1,"DUPLICATE ","")&amp;IF(AND(NOT(ISNA(MATCH($C230,Mapping!$B$7:$B$36,0))),$H230&lt;-'Control Panel'!$E$16),"CREDIT ","")&amp;IF(AND(NOT(ISNA(MATCH($C230,Mapping!$B$7:$B$36,0))),COUNTIFS(Budget!$B$4:$B$107,$B230,Budget!$C$4:$C$107,$D230)=0),"NO BUDGET ",""))</f>
        <v/>
      </c>
      <c r="L230" s="83" t="str">
        <f aca="false">IF($K230="","OK",$K230)</f>
        <v>OK</v>
      </c>
      <c r="M230" s="47" t="str">
        <f aca="false">IF(EXACT($L230,$I230),"ok","CHECK")</f>
        <v>ok</v>
      </c>
    </row>
    <row r="231" customFormat="false" ht="12" hidden="false" customHeight="true" outlineLevel="0" collapsed="false">
      <c r="B231" s="50" t="s">
        <v>148</v>
      </c>
      <c r="C231" s="50" t="s">
        <v>223</v>
      </c>
      <c r="D231" s="79" t="s">
        <v>113</v>
      </c>
      <c r="E231" s="80" t="n">
        <v>46181</v>
      </c>
      <c r="F231" s="50" t="s">
        <v>541</v>
      </c>
      <c r="G231" s="81" t="s">
        <v>438</v>
      </c>
      <c r="H231" s="82" t="n">
        <v>1340.08</v>
      </c>
      <c r="I231" s="37" t="s">
        <v>226</v>
      </c>
      <c r="J231" s="37" t="s">
        <v>77</v>
      </c>
      <c r="K231" s="37" t="str">
        <f aca="false">TRIM(IF($B231="UNASSIGNED","NO COST CENTRE ","")&amp;IF(ISNA(MATCH($C231,Mapping!$B$7:$B$36,0)),"UNMAPPED ","")&amp;IF(COUNTIFS($C$4:$C231,$C231,$F$4:$F231,$F231,$H$4:$H231,$H231)&gt;1,"DUPLICATE ","")&amp;IF(AND(NOT(ISNA(MATCH($C231,Mapping!$B$7:$B$36,0))),$H231&lt;-'Control Panel'!$E$16),"CREDIT ","")&amp;IF(AND(NOT(ISNA(MATCH($C231,Mapping!$B$7:$B$36,0))),COUNTIFS(Budget!$B$4:$B$107,$B231,Budget!$C$4:$C$107,$D231)=0),"NO BUDGET ",""))</f>
        <v/>
      </c>
      <c r="L231" s="83" t="str">
        <f aca="false">IF($K231="","OK",$K231)</f>
        <v>OK</v>
      </c>
      <c r="M231" s="47" t="str">
        <f aca="false">IF(EXACT($L231,$I231),"ok","CHECK")</f>
        <v>ok</v>
      </c>
    </row>
    <row r="232" customFormat="false" ht="12" hidden="false" customHeight="true" outlineLevel="0" collapsed="false">
      <c r="B232" s="50" t="s">
        <v>148</v>
      </c>
      <c r="C232" s="50" t="s">
        <v>244</v>
      </c>
      <c r="D232" s="79" t="s">
        <v>111</v>
      </c>
      <c r="E232" s="80" t="n">
        <v>46181</v>
      </c>
      <c r="F232" s="50" t="s">
        <v>542</v>
      </c>
      <c r="G232" s="81" t="s">
        <v>291</v>
      </c>
      <c r="H232" s="82" t="n">
        <v>1800.51</v>
      </c>
      <c r="I232" s="37" t="s">
        <v>226</v>
      </c>
      <c r="J232" s="37" t="s">
        <v>77</v>
      </c>
      <c r="K232" s="37" t="str">
        <f aca="false">TRIM(IF($B232="UNASSIGNED","NO COST CENTRE ","")&amp;IF(ISNA(MATCH($C232,Mapping!$B$7:$B$36,0)),"UNMAPPED ","")&amp;IF(COUNTIFS($C$4:$C232,$C232,$F$4:$F232,$F232,$H$4:$H232,$H232)&gt;1,"DUPLICATE ","")&amp;IF(AND(NOT(ISNA(MATCH($C232,Mapping!$B$7:$B$36,0))),$H232&lt;-'Control Panel'!$E$16),"CREDIT ","")&amp;IF(AND(NOT(ISNA(MATCH($C232,Mapping!$B$7:$B$36,0))),COUNTIFS(Budget!$B$4:$B$107,$B232,Budget!$C$4:$C$107,$D232)=0),"NO BUDGET ",""))</f>
        <v/>
      </c>
      <c r="L232" s="83" t="str">
        <f aca="false">IF($K232="","OK",$K232)</f>
        <v>OK</v>
      </c>
      <c r="M232" s="47" t="str">
        <f aca="false">IF(EXACT($L232,$I232),"ok","CHECK")</f>
        <v>ok</v>
      </c>
    </row>
    <row r="233" customFormat="false" ht="12" hidden="false" customHeight="true" outlineLevel="0" collapsed="false">
      <c r="B233" s="50" t="s">
        <v>148</v>
      </c>
      <c r="C233" s="50" t="s">
        <v>524</v>
      </c>
      <c r="D233" s="79" t="s">
        <v>118</v>
      </c>
      <c r="E233" s="80" t="n">
        <v>46181</v>
      </c>
      <c r="F233" s="50" t="s">
        <v>543</v>
      </c>
      <c r="G233" s="81" t="s">
        <v>544</v>
      </c>
      <c r="H233" s="82" t="n">
        <v>494.17</v>
      </c>
      <c r="I233" s="37" t="s">
        <v>226</v>
      </c>
      <c r="J233" s="37" t="s">
        <v>77</v>
      </c>
      <c r="K233" s="37" t="str">
        <f aca="false">TRIM(IF($B233="UNASSIGNED","NO COST CENTRE ","")&amp;IF(ISNA(MATCH($C233,Mapping!$B$7:$B$36,0)),"UNMAPPED ","")&amp;IF(COUNTIFS($C$4:$C233,$C233,$F$4:$F233,$F233,$H$4:$H233,$H233)&gt;1,"DUPLICATE ","")&amp;IF(AND(NOT(ISNA(MATCH($C233,Mapping!$B$7:$B$36,0))),$H233&lt;-'Control Panel'!$E$16),"CREDIT ","")&amp;IF(AND(NOT(ISNA(MATCH($C233,Mapping!$B$7:$B$36,0))),COUNTIFS(Budget!$B$4:$B$107,$B233,Budget!$C$4:$C$107,$D233)=0),"NO BUDGET ",""))</f>
        <v/>
      </c>
      <c r="L233" s="83" t="str">
        <f aca="false">IF($K233="","OK",$K233)</f>
        <v>OK</v>
      </c>
      <c r="M233" s="47" t="str">
        <f aca="false">IF(EXACT($L233,$I233),"ok","CHECK")</f>
        <v>ok</v>
      </c>
    </row>
    <row r="234" customFormat="false" ht="12" hidden="false" customHeight="true" outlineLevel="0" collapsed="false">
      <c r="B234" s="50" t="s">
        <v>148</v>
      </c>
      <c r="C234" s="50" t="s">
        <v>238</v>
      </c>
      <c r="D234" s="79" t="s">
        <v>110</v>
      </c>
      <c r="E234" s="80" t="n">
        <v>46182</v>
      </c>
      <c r="F234" s="50" t="s">
        <v>545</v>
      </c>
      <c r="G234" s="81" t="s">
        <v>356</v>
      </c>
      <c r="H234" s="82" t="n">
        <v>1254.88</v>
      </c>
      <c r="I234" s="37" t="s">
        <v>226</v>
      </c>
      <c r="J234" s="37" t="s">
        <v>77</v>
      </c>
      <c r="K234" s="37" t="str">
        <f aca="false">TRIM(IF($B234="UNASSIGNED","NO COST CENTRE ","")&amp;IF(ISNA(MATCH($C234,Mapping!$B$7:$B$36,0)),"UNMAPPED ","")&amp;IF(COUNTIFS($C$4:$C234,$C234,$F$4:$F234,$F234,$H$4:$H234,$H234)&gt;1,"DUPLICATE ","")&amp;IF(AND(NOT(ISNA(MATCH($C234,Mapping!$B$7:$B$36,0))),$H234&lt;-'Control Panel'!$E$16),"CREDIT ","")&amp;IF(AND(NOT(ISNA(MATCH($C234,Mapping!$B$7:$B$36,0))),COUNTIFS(Budget!$B$4:$B$107,$B234,Budget!$C$4:$C$107,$D234)=0),"NO BUDGET ",""))</f>
        <v/>
      </c>
      <c r="L234" s="83" t="str">
        <f aca="false">IF($K234="","OK",$K234)</f>
        <v>OK</v>
      </c>
      <c r="M234" s="47" t="str">
        <f aca="false">IF(EXACT($L234,$I234),"ok","CHECK")</f>
        <v>ok</v>
      </c>
    </row>
    <row r="235" customFormat="false" ht="12" hidden="false" customHeight="true" outlineLevel="0" collapsed="false">
      <c r="B235" s="50" t="s">
        <v>148</v>
      </c>
      <c r="C235" s="50" t="s">
        <v>238</v>
      </c>
      <c r="D235" s="79" t="s">
        <v>110</v>
      </c>
      <c r="E235" s="80" t="n">
        <v>46182</v>
      </c>
      <c r="F235" s="50" t="s">
        <v>546</v>
      </c>
      <c r="G235" s="81" t="s">
        <v>297</v>
      </c>
      <c r="H235" s="82" t="n">
        <v>1164.6</v>
      </c>
      <c r="I235" s="37" t="s">
        <v>226</v>
      </c>
      <c r="J235" s="37" t="s">
        <v>77</v>
      </c>
      <c r="K235" s="37" t="str">
        <f aca="false">TRIM(IF($B235="UNASSIGNED","NO COST CENTRE ","")&amp;IF(ISNA(MATCH($C235,Mapping!$B$7:$B$36,0)),"UNMAPPED ","")&amp;IF(COUNTIFS($C$4:$C235,$C235,$F$4:$F235,$F235,$H$4:$H235,$H235)&gt;1,"DUPLICATE ","")&amp;IF(AND(NOT(ISNA(MATCH($C235,Mapping!$B$7:$B$36,0))),$H235&lt;-'Control Panel'!$E$16),"CREDIT ","")&amp;IF(AND(NOT(ISNA(MATCH($C235,Mapping!$B$7:$B$36,0))),COUNTIFS(Budget!$B$4:$B$107,$B235,Budget!$C$4:$C$107,$D235)=0),"NO BUDGET ",""))</f>
        <v/>
      </c>
      <c r="L235" s="83" t="str">
        <f aca="false">IF($K235="","OK",$K235)</f>
        <v>OK</v>
      </c>
      <c r="M235" s="47" t="str">
        <f aca="false">IF(EXACT($L235,$I235),"ok","CHECK")</f>
        <v>ok</v>
      </c>
    </row>
    <row r="236" customFormat="false" ht="12" hidden="false" customHeight="true" outlineLevel="0" collapsed="false">
      <c r="B236" s="50" t="s">
        <v>148</v>
      </c>
      <c r="C236" s="50" t="s">
        <v>227</v>
      </c>
      <c r="D236" s="79" t="s">
        <v>112</v>
      </c>
      <c r="E236" s="80" t="n">
        <v>46183</v>
      </c>
      <c r="F236" s="50" t="s">
        <v>547</v>
      </c>
      <c r="G236" s="81" t="s">
        <v>284</v>
      </c>
      <c r="H236" s="82" t="n">
        <v>2839.54</v>
      </c>
      <c r="I236" s="37" t="s">
        <v>226</v>
      </c>
      <c r="J236" s="37" t="s">
        <v>77</v>
      </c>
      <c r="K236" s="37" t="str">
        <f aca="false">TRIM(IF($B236="UNASSIGNED","NO COST CENTRE ","")&amp;IF(ISNA(MATCH($C236,Mapping!$B$7:$B$36,0)),"UNMAPPED ","")&amp;IF(COUNTIFS($C$4:$C236,$C236,$F$4:$F236,$F236,$H$4:$H236,$H236)&gt;1,"DUPLICATE ","")&amp;IF(AND(NOT(ISNA(MATCH($C236,Mapping!$B$7:$B$36,0))),$H236&lt;-'Control Panel'!$E$16),"CREDIT ","")&amp;IF(AND(NOT(ISNA(MATCH($C236,Mapping!$B$7:$B$36,0))),COUNTIFS(Budget!$B$4:$B$107,$B236,Budget!$C$4:$C$107,$D236)=0),"NO BUDGET ",""))</f>
        <v/>
      </c>
      <c r="L236" s="83" t="str">
        <f aca="false">IF($K236="","OK",$K236)</f>
        <v>OK</v>
      </c>
      <c r="M236" s="47" t="str">
        <f aca="false">IF(EXACT($L236,$I236),"ok","CHECK")</f>
        <v>ok</v>
      </c>
    </row>
    <row r="237" customFormat="false" ht="12" hidden="false" customHeight="true" outlineLevel="0" collapsed="false">
      <c r="B237" s="50" t="s">
        <v>148</v>
      </c>
      <c r="C237" s="50" t="s">
        <v>289</v>
      </c>
      <c r="D237" s="79" t="s">
        <v>111</v>
      </c>
      <c r="E237" s="80" t="n">
        <v>46184</v>
      </c>
      <c r="F237" s="50" t="s">
        <v>548</v>
      </c>
      <c r="G237" s="81" t="s">
        <v>243</v>
      </c>
      <c r="H237" s="82" t="n">
        <v>863.78</v>
      </c>
      <c r="I237" s="37" t="s">
        <v>226</v>
      </c>
      <c r="J237" s="37" t="s">
        <v>77</v>
      </c>
      <c r="K237" s="37" t="str">
        <f aca="false">TRIM(IF($B237="UNASSIGNED","NO COST CENTRE ","")&amp;IF(ISNA(MATCH($C237,Mapping!$B$7:$B$36,0)),"UNMAPPED ","")&amp;IF(COUNTIFS($C$4:$C237,$C237,$F$4:$F237,$F237,$H$4:$H237,$H237)&gt;1,"DUPLICATE ","")&amp;IF(AND(NOT(ISNA(MATCH($C237,Mapping!$B$7:$B$36,0))),$H237&lt;-'Control Panel'!$E$16),"CREDIT ","")&amp;IF(AND(NOT(ISNA(MATCH($C237,Mapping!$B$7:$B$36,0))),COUNTIFS(Budget!$B$4:$B$107,$B237,Budget!$C$4:$C$107,$D237)=0),"NO BUDGET ",""))</f>
        <v/>
      </c>
      <c r="L237" s="83" t="str">
        <f aca="false">IF($K237="","OK",$K237)</f>
        <v>OK</v>
      </c>
      <c r="M237" s="47" t="str">
        <f aca="false">IF(EXACT($L237,$I237),"ok","CHECK")</f>
        <v>ok</v>
      </c>
    </row>
    <row r="238" customFormat="false" ht="12" hidden="false" customHeight="true" outlineLevel="0" collapsed="false">
      <c r="B238" s="50" t="s">
        <v>148</v>
      </c>
      <c r="C238" s="50" t="s">
        <v>238</v>
      </c>
      <c r="D238" s="79" t="s">
        <v>110</v>
      </c>
      <c r="E238" s="80" t="n">
        <v>46184</v>
      </c>
      <c r="F238" s="50" t="s">
        <v>549</v>
      </c>
      <c r="G238" s="81" t="s">
        <v>270</v>
      </c>
      <c r="H238" s="82" t="n">
        <v>1298.84</v>
      </c>
      <c r="I238" s="37" t="s">
        <v>226</v>
      </c>
      <c r="J238" s="37" t="s">
        <v>77</v>
      </c>
      <c r="K238" s="37" t="str">
        <f aca="false">TRIM(IF($B238="UNASSIGNED","NO COST CENTRE ","")&amp;IF(ISNA(MATCH($C238,Mapping!$B$7:$B$36,0)),"UNMAPPED ","")&amp;IF(COUNTIFS($C$4:$C238,$C238,$F$4:$F238,$F238,$H$4:$H238,$H238)&gt;1,"DUPLICATE ","")&amp;IF(AND(NOT(ISNA(MATCH($C238,Mapping!$B$7:$B$36,0))),$H238&lt;-'Control Panel'!$E$16),"CREDIT ","")&amp;IF(AND(NOT(ISNA(MATCH($C238,Mapping!$B$7:$B$36,0))),COUNTIFS(Budget!$B$4:$B$107,$B238,Budget!$C$4:$C$107,$D238)=0),"NO BUDGET ",""))</f>
        <v/>
      </c>
      <c r="L238" s="83" t="str">
        <f aca="false">IF($K238="","OK",$K238)</f>
        <v>OK</v>
      </c>
      <c r="M238" s="47" t="str">
        <f aca="false">IF(EXACT($L238,$I238),"ok","CHECK")</f>
        <v>ok</v>
      </c>
    </row>
    <row r="239" customFormat="false" ht="12" hidden="false" customHeight="true" outlineLevel="0" collapsed="false">
      <c r="B239" s="50" t="s">
        <v>148</v>
      </c>
      <c r="C239" s="50" t="s">
        <v>266</v>
      </c>
      <c r="D239" s="79" t="s">
        <v>109</v>
      </c>
      <c r="E239" s="80" t="n">
        <v>46185</v>
      </c>
      <c r="F239" s="50" t="s">
        <v>550</v>
      </c>
      <c r="G239" s="81" t="s">
        <v>310</v>
      </c>
      <c r="H239" s="82" t="n">
        <v>1611.06</v>
      </c>
      <c r="I239" s="37" t="s">
        <v>226</v>
      </c>
      <c r="J239" s="37" t="s">
        <v>77</v>
      </c>
      <c r="K239" s="37" t="str">
        <f aca="false">TRIM(IF($B239="UNASSIGNED","NO COST CENTRE ","")&amp;IF(ISNA(MATCH($C239,Mapping!$B$7:$B$36,0)),"UNMAPPED ","")&amp;IF(COUNTIFS($C$4:$C239,$C239,$F$4:$F239,$F239,$H$4:$H239,$H239)&gt;1,"DUPLICATE ","")&amp;IF(AND(NOT(ISNA(MATCH($C239,Mapping!$B$7:$B$36,0))),$H239&lt;-'Control Panel'!$E$16),"CREDIT ","")&amp;IF(AND(NOT(ISNA(MATCH($C239,Mapping!$B$7:$B$36,0))),COUNTIFS(Budget!$B$4:$B$107,$B239,Budget!$C$4:$C$107,$D239)=0),"NO BUDGET ",""))</f>
        <v/>
      </c>
      <c r="L239" s="83" t="str">
        <f aca="false">IF($K239="","OK",$K239)</f>
        <v>OK</v>
      </c>
      <c r="M239" s="47" t="str">
        <f aca="false">IF(EXACT($L239,$I239),"ok","CHECK")</f>
        <v>ok</v>
      </c>
    </row>
    <row r="240" customFormat="false" ht="12" hidden="false" customHeight="true" outlineLevel="0" collapsed="false">
      <c r="B240" s="50" t="s">
        <v>148</v>
      </c>
      <c r="C240" s="50" t="s">
        <v>289</v>
      </c>
      <c r="D240" s="79" t="s">
        <v>111</v>
      </c>
      <c r="E240" s="80" t="n">
        <v>46185</v>
      </c>
      <c r="F240" s="50" t="s">
        <v>551</v>
      </c>
      <c r="G240" s="81" t="s">
        <v>243</v>
      </c>
      <c r="H240" s="82" t="n">
        <v>1787.4</v>
      </c>
      <c r="I240" s="37" t="s">
        <v>226</v>
      </c>
      <c r="J240" s="37" t="s">
        <v>77</v>
      </c>
      <c r="K240" s="37" t="str">
        <f aca="false">TRIM(IF($B240="UNASSIGNED","NO COST CENTRE ","")&amp;IF(ISNA(MATCH($C240,Mapping!$B$7:$B$36,0)),"UNMAPPED ","")&amp;IF(COUNTIFS($C$4:$C240,$C240,$F$4:$F240,$F240,$H$4:$H240,$H240)&gt;1,"DUPLICATE ","")&amp;IF(AND(NOT(ISNA(MATCH($C240,Mapping!$B$7:$B$36,0))),$H240&lt;-'Control Panel'!$E$16),"CREDIT ","")&amp;IF(AND(NOT(ISNA(MATCH($C240,Mapping!$B$7:$B$36,0))),COUNTIFS(Budget!$B$4:$B$107,$B240,Budget!$C$4:$C$107,$D240)=0),"NO BUDGET ",""))</f>
        <v/>
      </c>
      <c r="L240" s="83" t="str">
        <f aca="false">IF($K240="","OK",$K240)</f>
        <v>OK</v>
      </c>
      <c r="M240" s="47" t="str">
        <f aca="false">IF(EXACT($L240,$I240),"ok","CHECK")</f>
        <v>ok</v>
      </c>
    </row>
    <row r="241" customFormat="false" ht="12" hidden="false" customHeight="true" outlineLevel="0" collapsed="false">
      <c r="B241" s="50" t="s">
        <v>148</v>
      </c>
      <c r="C241" s="50" t="s">
        <v>337</v>
      </c>
      <c r="D241" s="79" t="s">
        <v>109</v>
      </c>
      <c r="E241" s="80" t="n">
        <v>46185</v>
      </c>
      <c r="F241" s="50" t="s">
        <v>552</v>
      </c>
      <c r="G241" s="81" t="s">
        <v>334</v>
      </c>
      <c r="H241" s="82" t="n">
        <v>1615.61</v>
      </c>
      <c r="I241" s="37" t="s">
        <v>226</v>
      </c>
      <c r="J241" s="37" t="s">
        <v>77</v>
      </c>
      <c r="K241" s="37" t="str">
        <f aca="false">TRIM(IF($B241="UNASSIGNED","NO COST CENTRE ","")&amp;IF(ISNA(MATCH($C241,Mapping!$B$7:$B$36,0)),"UNMAPPED ","")&amp;IF(COUNTIFS($C$4:$C241,$C241,$F$4:$F241,$F241,$H$4:$H241,$H241)&gt;1,"DUPLICATE ","")&amp;IF(AND(NOT(ISNA(MATCH($C241,Mapping!$B$7:$B$36,0))),$H241&lt;-'Control Panel'!$E$16),"CREDIT ","")&amp;IF(AND(NOT(ISNA(MATCH($C241,Mapping!$B$7:$B$36,0))),COUNTIFS(Budget!$B$4:$B$107,$B241,Budget!$C$4:$C$107,$D241)=0),"NO BUDGET ",""))</f>
        <v/>
      </c>
      <c r="L241" s="83" t="str">
        <f aca="false">IF($K241="","OK",$K241)</f>
        <v>OK</v>
      </c>
      <c r="M241" s="47" t="str">
        <f aca="false">IF(EXACT($L241,$I241),"ok","CHECK")</f>
        <v>ok</v>
      </c>
    </row>
    <row r="242" customFormat="false" ht="12" hidden="false" customHeight="true" outlineLevel="0" collapsed="false">
      <c r="B242" s="50" t="s">
        <v>148</v>
      </c>
      <c r="C242" s="50" t="s">
        <v>244</v>
      </c>
      <c r="D242" s="79" t="s">
        <v>111</v>
      </c>
      <c r="E242" s="80" t="n">
        <v>46186</v>
      </c>
      <c r="F242" s="50" t="s">
        <v>553</v>
      </c>
      <c r="G242" s="81" t="s">
        <v>261</v>
      </c>
      <c r="H242" s="82" t="n">
        <v>1040.1</v>
      </c>
      <c r="I242" s="37" t="s">
        <v>226</v>
      </c>
      <c r="J242" s="37" t="s">
        <v>77</v>
      </c>
      <c r="K242" s="37" t="str">
        <f aca="false">TRIM(IF($B242="UNASSIGNED","NO COST CENTRE ","")&amp;IF(ISNA(MATCH($C242,Mapping!$B$7:$B$36,0)),"UNMAPPED ","")&amp;IF(COUNTIFS($C$4:$C242,$C242,$F$4:$F242,$F242,$H$4:$H242,$H242)&gt;1,"DUPLICATE ","")&amp;IF(AND(NOT(ISNA(MATCH($C242,Mapping!$B$7:$B$36,0))),$H242&lt;-'Control Panel'!$E$16),"CREDIT ","")&amp;IF(AND(NOT(ISNA(MATCH($C242,Mapping!$B$7:$B$36,0))),COUNTIFS(Budget!$B$4:$B$107,$B242,Budget!$C$4:$C$107,$D242)=0),"NO BUDGET ",""))</f>
        <v/>
      </c>
      <c r="L242" s="83" t="str">
        <f aca="false">IF($K242="","OK",$K242)</f>
        <v>OK</v>
      </c>
      <c r="M242" s="47" t="str">
        <f aca="false">IF(EXACT($L242,$I242),"ok","CHECK")</f>
        <v>ok</v>
      </c>
    </row>
    <row r="243" customFormat="false" ht="12" hidden="false" customHeight="true" outlineLevel="0" collapsed="false">
      <c r="B243" s="50" t="s">
        <v>148</v>
      </c>
      <c r="C243" s="50" t="s">
        <v>289</v>
      </c>
      <c r="D243" s="79" t="s">
        <v>111</v>
      </c>
      <c r="E243" s="80" t="n">
        <v>46186</v>
      </c>
      <c r="F243" s="50" t="s">
        <v>554</v>
      </c>
      <c r="G243" s="81" t="s">
        <v>318</v>
      </c>
      <c r="H243" s="82" t="n">
        <v>1023.02</v>
      </c>
      <c r="I243" s="37" t="s">
        <v>226</v>
      </c>
      <c r="J243" s="37" t="s">
        <v>77</v>
      </c>
      <c r="K243" s="37" t="str">
        <f aca="false">TRIM(IF($B243="UNASSIGNED","NO COST CENTRE ","")&amp;IF(ISNA(MATCH($C243,Mapping!$B$7:$B$36,0)),"UNMAPPED ","")&amp;IF(COUNTIFS($C$4:$C243,$C243,$F$4:$F243,$F243,$H$4:$H243,$H243)&gt;1,"DUPLICATE ","")&amp;IF(AND(NOT(ISNA(MATCH($C243,Mapping!$B$7:$B$36,0))),$H243&lt;-'Control Panel'!$E$16),"CREDIT ","")&amp;IF(AND(NOT(ISNA(MATCH($C243,Mapping!$B$7:$B$36,0))),COUNTIFS(Budget!$B$4:$B$107,$B243,Budget!$C$4:$C$107,$D243)=0),"NO BUDGET ",""))</f>
        <v/>
      </c>
      <c r="L243" s="83" t="str">
        <f aca="false">IF($K243="","OK",$K243)</f>
        <v>OK</v>
      </c>
      <c r="M243" s="47" t="str">
        <f aca="false">IF(EXACT($L243,$I243),"ok","CHECK")</f>
        <v>ok</v>
      </c>
    </row>
    <row r="244" customFormat="false" ht="12" hidden="false" customHeight="true" outlineLevel="0" collapsed="false">
      <c r="B244" s="50" t="s">
        <v>148</v>
      </c>
      <c r="C244" s="50" t="s">
        <v>238</v>
      </c>
      <c r="D244" s="79" t="s">
        <v>110</v>
      </c>
      <c r="E244" s="80" t="n">
        <v>46188</v>
      </c>
      <c r="F244" s="50" t="s">
        <v>555</v>
      </c>
      <c r="G244" s="81" t="s">
        <v>356</v>
      </c>
      <c r="H244" s="82" t="n">
        <v>1363.56</v>
      </c>
      <c r="I244" s="37" t="s">
        <v>226</v>
      </c>
      <c r="J244" s="37" t="s">
        <v>77</v>
      </c>
      <c r="K244" s="37" t="str">
        <f aca="false">TRIM(IF($B244="UNASSIGNED","NO COST CENTRE ","")&amp;IF(ISNA(MATCH($C244,Mapping!$B$7:$B$36,0)),"UNMAPPED ","")&amp;IF(COUNTIFS($C$4:$C244,$C244,$F$4:$F244,$F244,$H$4:$H244,$H244)&gt;1,"DUPLICATE ","")&amp;IF(AND(NOT(ISNA(MATCH($C244,Mapping!$B$7:$B$36,0))),$H244&lt;-'Control Panel'!$E$16),"CREDIT ","")&amp;IF(AND(NOT(ISNA(MATCH($C244,Mapping!$B$7:$B$36,0))),COUNTIFS(Budget!$B$4:$B$107,$B244,Budget!$C$4:$C$107,$D244)=0),"NO BUDGET ",""))</f>
        <v/>
      </c>
      <c r="L244" s="83" t="str">
        <f aca="false">IF($K244="","OK",$K244)</f>
        <v>OK</v>
      </c>
      <c r="M244" s="47" t="str">
        <f aca="false">IF(EXACT($L244,$I244),"ok","CHECK")</f>
        <v>ok</v>
      </c>
    </row>
    <row r="245" customFormat="false" ht="12" hidden="false" customHeight="true" outlineLevel="0" collapsed="false">
      <c r="B245" s="50" t="s">
        <v>148</v>
      </c>
      <c r="C245" s="50" t="s">
        <v>244</v>
      </c>
      <c r="D245" s="79" t="s">
        <v>111</v>
      </c>
      <c r="E245" s="80" t="n">
        <v>46190</v>
      </c>
      <c r="F245" s="50" t="s">
        <v>556</v>
      </c>
      <c r="G245" s="81" t="s">
        <v>291</v>
      </c>
      <c r="H245" s="82" t="n">
        <v>1309.04</v>
      </c>
      <c r="I245" s="37" t="s">
        <v>226</v>
      </c>
      <c r="J245" s="37" t="s">
        <v>77</v>
      </c>
      <c r="K245" s="37" t="str">
        <f aca="false">TRIM(IF($B245="UNASSIGNED","NO COST CENTRE ","")&amp;IF(ISNA(MATCH($C245,Mapping!$B$7:$B$36,0)),"UNMAPPED ","")&amp;IF(COUNTIFS($C$4:$C245,$C245,$F$4:$F245,$F245,$H$4:$H245,$H245)&gt;1,"DUPLICATE ","")&amp;IF(AND(NOT(ISNA(MATCH($C245,Mapping!$B$7:$B$36,0))),$H245&lt;-'Control Panel'!$E$16),"CREDIT ","")&amp;IF(AND(NOT(ISNA(MATCH($C245,Mapping!$B$7:$B$36,0))),COUNTIFS(Budget!$B$4:$B$107,$B245,Budget!$C$4:$C$107,$D245)=0),"NO BUDGET ",""))</f>
        <v/>
      </c>
      <c r="L245" s="83" t="str">
        <f aca="false">IF($K245="","OK",$K245)</f>
        <v>OK</v>
      </c>
      <c r="M245" s="47" t="str">
        <f aca="false">IF(EXACT($L245,$I245),"ok","CHECK")</f>
        <v>ok</v>
      </c>
    </row>
    <row r="246" customFormat="false" ht="12" hidden="false" customHeight="true" outlineLevel="0" collapsed="false">
      <c r="B246" s="50" t="s">
        <v>148</v>
      </c>
      <c r="C246" s="50" t="s">
        <v>244</v>
      </c>
      <c r="D246" s="79" t="s">
        <v>111</v>
      </c>
      <c r="E246" s="80" t="n">
        <v>46191</v>
      </c>
      <c r="F246" s="50" t="s">
        <v>557</v>
      </c>
      <c r="G246" s="81" t="s">
        <v>261</v>
      </c>
      <c r="H246" s="82" t="n">
        <v>1518.39</v>
      </c>
      <c r="I246" s="37" t="s">
        <v>226</v>
      </c>
      <c r="J246" s="37" t="s">
        <v>77</v>
      </c>
      <c r="K246" s="37" t="str">
        <f aca="false">TRIM(IF($B246="UNASSIGNED","NO COST CENTRE ","")&amp;IF(ISNA(MATCH($C246,Mapping!$B$7:$B$36,0)),"UNMAPPED ","")&amp;IF(COUNTIFS($C$4:$C246,$C246,$F$4:$F246,$F246,$H$4:$H246,$H246)&gt;1,"DUPLICATE ","")&amp;IF(AND(NOT(ISNA(MATCH($C246,Mapping!$B$7:$B$36,0))),$H246&lt;-'Control Panel'!$E$16),"CREDIT ","")&amp;IF(AND(NOT(ISNA(MATCH($C246,Mapping!$B$7:$B$36,0))),COUNTIFS(Budget!$B$4:$B$107,$B246,Budget!$C$4:$C$107,$D246)=0),"NO BUDGET ",""))</f>
        <v/>
      </c>
      <c r="L246" s="83" t="str">
        <f aca="false">IF($K246="","OK",$K246)</f>
        <v>OK</v>
      </c>
      <c r="M246" s="47" t="str">
        <f aca="false">IF(EXACT($L246,$I246),"ok","CHECK")</f>
        <v>ok</v>
      </c>
    </row>
    <row r="247" customFormat="false" ht="12" hidden="false" customHeight="true" outlineLevel="0" collapsed="false">
      <c r="B247" s="50" t="s">
        <v>148</v>
      </c>
      <c r="C247" s="50" t="s">
        <v>223</v>
      </c>
      <c r="D247" s="79" t="s">
        <v>113</v>
      </c>
      <c r="E247" s="80" t="n">
        <v>46191</v>
      </c>
      <c r="F247" s="50" t="s">
        <v>558</v>
      </c>
      <c r="G247" s="81" t="s">
        <v>375</v>
      </c>
      <c r="H247" s="82" t="n">
        <v>1320.68</v>
      </c>
      <c r="I247" s="37" t="s">
        <v>226</v>
      </c>
      <c r="J247" s="37" t="s">
        <v>77</v>
      </c>
      <c r="K247" s="37" t="str">
        <f aca="false">TRIM(IF($B247="UNASSIGNED","NO COST CENTRE ","")&amp;IF(ISNA(MATCH($C247,Mapping!$B$7:$B$36,0)),"UNMAPPED ","")&amp;IF(COUNTIFS($C$4:$C247,$C247,$F$4:$F247,$F247,$H$4:$H247,$H247)&gt;1,"DUPLICATE ","")&amp;IF(AND(NOT(ISNA(MATCH($C247,Mapping!$B$7:$B$36,0))),$H247&lt;-'Control Panel'!$E$16),"CREDIT ","")&amp;IF(AND(NOT(ISNA(MATCH($C247,Mapping!$B$7:$B$36,0))),COUNTIFS(Budget!$B$4:$B$107,$B247,Budget!$C$4:$C$107,$D247)=0),"NO BUDGET ",""))</f>
        <v/>
      </c>
      <c r="L247" s="83" t="str">
        <f aca="false">IF($K247="","OK",$K247)</f>
        <v>OK</v>
      </c>
      <c r="M247" s="47" t="str">
        <f aca="false">IF(EXACT($L247,$I247),"ok","CHECK")</f>
        <v>ok</v>
      </c>
    </row>
    <row r="248" customFormat="false" ht="12" hidden="false" customHeight="true" outlineLevel="0" collapsed="false">
      <c r="B248" s="50" t="s">
        <v>148</v>
      </c>
      <c r="C248" s="50" t="s">
        <v>259</v>
      </c>
      <c r="D248" s="79" t="s">
        <v>111</v>
      </c>
      <c r="E248" s="80" t="n">
        <v>46191</v>
      </c>
      <c r="F248" s="50" t="s">
        <v>559</v>
      </c>
      <c r="G248" s="81" t="s">
        <v>246</v>
      </c>
      <c r="H248" s="82" t="n">
        <v>1780.74</v>
      </c>
      <c r="I248" s="37" t="s">
        <v>226</v>
      </c>
      <c r="J248" s="37" t="s">
        <v>77</v>
      </c>
      <c r="K248" s="37" t="str">
        <f aca="false">TRIM(IF($B248="UNASSIGNED","NO COST CENTRE ","")&amp;IF(ISNA(MATCH($C248,Mapping!$B$7:$B$36,0)),"UNMAPPED ","")&amp;IF(COUNTIFS($C$4:$C248,$C248,$F$4:$F248,$F248,$H$4:$H248,$H248)&gt;1,"DUPLICATE ","")&amp;IF(AND(NOT(ISNA(MATCH($C248,Mapping!$B$7:$B$36,0))),$H248&lt;-'Control Panel'!$E$16),"CREDIT ","")&amp;IF(AND(NOT(ISNA(MATCH($C248,Mapping!$B$7:$B$36,0))),COUNTIFS(Budget!$B$4:$B$107,$B248,Budget!$C$4:$C$107,$D248)=0),"NO BUDGET ",""))</f>
        <v/>
      </c>
      <c r="L248" s="83" t="str">
        <f aca="false">IF($K248="","OK",$K248)</f>
        <v>OK</v>
      </c>
      <c r="M248" s="47" t="str">
        <f aca="false">IF(EXACT($L248,$I248),"ok","CHECK")</f>
        <v>ok</v>
      </c>
    </row>
    <row r="249" customFormat="false" ht="12" hidden="false" customHeight="true" outlineLevel="0" collapsed="false">
      <c r="B249" s="50" t="s">
        <v>148</v>
      </c>
      <c r="C249" s="50" t="s">
        <v>301</v>
      </c>
      <c r="D249" s="79" t="s">
        <v>122</v>
      </c>
      <c r="E249" s="80" t="n">
        <v>46192</v>
      </c>
      <c r="F249" s="50" t="s">
        <v>560</v>
      </c>
      <c r="G249" s="81" t="s">
        <v>237</v>
      </c>
      <c r="H249" s="82" t="n">
        <v>4529.02</v>
      </c>
      <c r="I249" s="37" t="s">
        <v>226</v>
      </c>
      <c r="J249" s="37" t="s">
        <v>77</v>
      </c>
      <c r="K249" s="37" t="str">
        <f aca="false">TRIM(IF($B249="UNASSIGNED","NO COST CENTRE ","")&amp;IF(ISNA(MATCH($C249,Mapping!$B$7:$B$36,0)),"UNMAPPED ","")&amp;IF(COUNTIFS($C$4:$C249,$C249,$F$4:$F249,$F249,$H$4:$H249,$H249)&gt;1,"DUPLICATE ","")&amp;IF(AND(NOT(ISNA(MATCH($C249,Mapping!$B$7:$B$36,0))),$H249&lt;-'Control Panel'!$E$16),"CREDIT ","")&amp;IF(AND(NOT(ISNA(MATCH($C249,Mapping!$B$7:$B$36,0))),COUNTIFS(Budget!$B$4:$B$107,$B249,Budget!$C$4:$C$107,$D249)=0),"NO BUDGET ",""))</f>
        <v/>
      </c>
      <c r="L249" s="83" t="str">
        <f aca="false">IF($K249="","OK",$K249)</f>
        <v>OK</v>
      </c>
      <c r="M249" s="47" t="str">
        <f aca="false">IF(EXACT($L249,$I249),"ok","CHECK")</f>
        <v>ok</v>
      </c>
    </row>
    <row r="250" customFormat="false" ht="12" hidden="false" customHeight="true" outlineLevel="0" collapsed="false">
      <c r="B250" s="50" t="s">
        <v>148</v>
      </c>
      <c r="C250" s="50" t="s">
        <v>259</v>
      </c>
      <c r="D250" s="79" t="s">
        <v>111</v>
      </c>
      <c r="E250" s="80" t="n">
        <v>46192</v>
      </c>
      <c r="F250" s="50" t="s">
        <v>561</v>
      </c>
      <c r="G250" s="81" t="s">
        <v>318</v>
      </c>
      <c r="H250" s="82" t="n">
        <v>1284.5</v>
      </c>
      <c r="I250" s="37" t="s">
        <v>226</v>
      </c>
      <c r="J250" s="37" t="s">
        <v>77</v>
      </c>
      <c r="K250" s="37" t="str">
        <f aca="false">TRIM(IF($B250="UNASSIGNED","NO COST CENTRE ","")&amp;IF(ISNA(MATCH($C250,Mapping!$B$7:$B$36,0)),"UNMAPPED ","")&amp;IF(COUNTIFS($C$4:$C250,$C250,$F$4:$F250,$F250,$H$4:$H250,$H250)&gt;1,"DUPLICATE ","")&amp;IF(AND(NOT(ISNA(MATCH($C250,Mapping!$B$7:$B$36,0))),$H250&lt;-'Control Panel'!$E$16),"CREDIT ","")&amp;IF(AND(NOT(ISNA(MATCH($C250,Mapping!$B$7:$B$36,0))),COUNTIFS(Budget!$B$4:$B$107,$B250,Budget!$C$4:$C$107,$D250)=0),"NO BUDGET ",""))</f>
        <v/>
      </c>
      <c r="L250" s="83" t="str">
        <f aca="false">IF($K250="","OK",$K250)</f>
        <v>OK</v>
      </c>
      <c r="M250" s="47" t="str">
        <f aca="false">IF(EXACT($L250,$I250),"ok","CHECK")</f>
        <v>ok</v>
      </c>
    </row>
    <row r="251" customFormat="false" ht="12" hidden="false" customHeight="true" outlineLevel="0" collapsed="false">
      <c r="B251" s="50" t="s">
        <v>148</v>
      </c>
      <c r="C251" s="50" t="s">
        <v>250</v>
      </c>
      <c r="D251" s="79" t="s">
        <v>115</v>
      </c>
      <c r="E251" s="80" t="n">
        <v>46192</v>
      </c>
      <c r="F251" s="50" t="s">
        <v>562</v>
      </c>
      <c r="G251" s="81" t="s">
        <v>252</v>
      </c>
      <c r="H251" s="82" t="n">
        <v>1476.19</v>
      </c>
      <c r="I251" s="37" t="s">
        <v>226</v>
      </c>
      <c r="J251" s="37" t="s">
        <v>77</v>
      </c>
      <c r="K251" s="37" t="str">
        <f aca="false">TRIM(IF($B251="UNASSIGNED","NO COST CENTRE ","")&amp;IF(ISNA(MATCH($C251,Mapping!$B$7:$B$36,0)),"UNMAPPED ","")&amp;IF(COUNTIFS($C$4:$C251,$C251,$F$4:$F251,$F251,$H$4:$H251,$H251)&gt;1,"DUPLICATE ","")&amp;IF(AND(NOT(ISNA(MATCH($C251,Mapping!$B$7:$B$36,0))),$H251&lt;-'Control Panel'!$E$16),"CREDIT ","")&amp;IF(AND(NOT(ISNA(MATCH($C251,Mapping!$B$7:$B$36,0))),COUNTIFS(Budget!$B$4:$B$107,$B251,Budget!$C$4:$C$107,$D251)=0),"NO BUDGET ",""))</f>
        <v/>
      </c>
      <c r="L251" s="83" t="str">
        <f aca="false">IF($K251="","OK",$K251)</f>
        <v>OK</v>
      </c>
      <c r="M251" s="47" t="str">
        <f aca="false">IF(EXACT($L251,$I251),"ok","CHECK")</f>
        <v>ok</v>
      </c>
    </row>
    <row r="252" customFormat="false" ht="12" hidden="false" customHeight="true" outlineLevel="0" collapsed="false">
      <c r="B252" s="50" t="s">
        <v>148</v>
      </c>
      <c r="C252" s="50" t="s">
        <v>289</v>
      </c>
      <c r="D252" s="79" t="s">
        <v>111</v>
      </c>
      <c r="E252" s="80" t="n">
        <v>46194</v>
      </c>
      <c r="F252" s="50" t="s">
        <v>563</v>
      </c>
      <c r="G252" s="81" t="s">
        <v>360</v>
      </c>
      <c r="H252" s="82" t="n">
        <v>1262.76</v>
      </c>
      <c r="I252" s="37" t="s">
        <v>226</v>
      </c>
      <c r="J252" s="37" t="s">
        <v>77</v>
      </c>
      <c r="K252" s="37" t="str">
        <f aca="false">TRIM(IF($B252="UNASSIGNED","NO COST CENTRE ","")&amp;IF(ISNA(MATCH($C252,Mapping!$B$7:$B$36,0)),"UNMAPPED ","")&amp;IF(COUNTIFS($C$4:$C252,$C252,$F$4:$F252,$F252,$H$4:$H252,$H252)&gt;1,"DUPLICATE ","")&amp;IF(AND(NOT(ISNA(MATCH($C252,Mapping!$B$7:$B$36,0))),$H252&lt;-'Control Panel'!$E$16),"CREDIT ","")&amp;IF(AND(NOT(ISNA(MATCH($C252,Mapping!$B$7:$B$36,0))),COUNTIFS(Budget!$B$4:$B$107,$B252,Budget!$C$4:$C$107,$D252)=0),"NO BUDGET ",""))</f>
        <v/>
      </c>
      <c r="L252" s="83" t="str">
        <f aca="false">IF($K252="","OK",$K252)</f>
        <v>OK</v>
      </c>
      <c r="M252" s="47" t="str">
        <f aca="false">IF(EXACT($L252,$I252),"ok","CHECK")</f>
        <v>ok</v>
      </c>
    </row>
    <row r="253" customFormat="false" ht="12" hidden="false" customHeight="true" outlineLevel="0" collapsed="false">
      <c r="B253" s="50" t="s">
        <v>148</v>
      </c>
      <c r="C253" s="50" t="s">
        <v>301</v>
      </c>
      <c r="D253" s="79" t="s">
        <v>122</v>
      </c>
      <c r="E253" s="80" t="n">
        <v>46196</v>
      </c>
      <c r="F253" s="50" t="s">
        <v>564</v>
      </c>
      <c r="G253" s="81" t="s">
        <v>237</v>
      </c>
      <c r="H253" s="82" t="n">
        <v>2030.45</v>
      </c>
      <c r="I253" s="37" t="s">
        <v>226</v>
      </c>
      <c r="J253" s="37" t="s">
        <v>77</v>
      </c>
      <c r="K253" s="37" t="str">
        <f aca="false">TRIM(IF($B253="UNASSIGNED","NO COST CENTRE ","")&amp;IF(ISNA(MATCH($C253,Mapping!$B$7:$B$36,0)),"UNMAPPED ","")&amp;IF(COUNTIFS($C$4:$C253,$C253,$F$4:$F253,$F253,$H$4:$H253,$H253)&gt;1,"DUPLICATE ","")&amp;IF(AND(NOT(ISNA(MATCH($C253,Mapping!$B$7:$B$36,0))),$H253&lt;-'Control Panel'!$E$16),"CREDIT ","")&amp;IF(AND(NOT(ISNA(MATCH($C253,Mapping!$B$7:$B$36,0))),COUNTIFS(Budget!$B$4:$B$107,$B253,Budget!$C$4:$C$107,$D253)=0),"NO BUDGET ",""))</f>
        <v/>
      </c>
      <c r="L253" s="83" t="str">
        <f aca="false">IF($K253="","OK",$K253)</f>
        <v>OK</v>
      </c>
      <c r="M253" s="47" t="str">
        <f aca="false">IF(EXACT($L253,$I253),"ok","CHECK")</f>
        <v>ok</v>
      </c>
    </row>
    <row r="254" customFormat="false" ht="12" hidden="false" customHeight="true" outlineLevel="0" collapsed="false">
      <c r="B254" s="50" t="s">
        <v>148</v>
      </c>
      <c r="C254" s="50" t="s">
        <v>223</v>
      </c>
      <c r="D254" s="79" t="s">
        <v>113</v>
      </c>
      <c r="E254" s="80" t="n">
        <v>46197</v>
      </c>
      <c r="F254" s="50" t="s">
        <v>565</v>
      </c>
      <c r="G254" s="81" t="s">
        <v>295</v>
      </c>
      <c r="H254" s="82" t="n">
        <v>1353.46</v>
      </c>
      <c r="I254" s="37" t="s">
        <v>226</v>
      </c>
      <c r="J254" s="37" t="s">
        <v>77</v>
      </c>
      <c r="K254" s="37" t="str">
        <f aca="false">TRIM(IF($B254="UNASSIGNED","NO COST CENTRE ","")&amp;IF(ISNA(MATCH($C254,Mapping!$B$7:$B$36,0)),"UNMAPPED ","")&amp;IF(COUNTIFS($C$4:$C254,$C254,$F$4:$F254,$F254,$H$4:$H254,$H254)&gt;1,"DUPLICATE ","")&amp;IF(AND(NOT(ISNA(MATCH($C254,Mapping!$B$7:$B$36,0))),$H254&lt;-'Control Panel'!$E$16),"CREDIT ","")&amp;IF(AND(NOT(ISNA(MATCH($C254,Mapping!$B$7:$B$36,0))),COUNTIFS(Budget!$B$4:$B$107,$B254,Budget!$C$4:$C$107,$D254)=0),"NO BUDGET ",""))</f>
        <v/>
      </c>
      <c r="L254" s="83" t="str">
        <f aca="false">IF($K254="","OK",$K254)</f>
        <v>OK</v>
      </c>
      <c r="M254" s="47" t="str">
        <f aca="false">IF(EXACT($L254,$I254),"ok","CHECK")</f>
        <v>ok</v>
      </c>
    </row>
    <row r="255" customFormat="false" ht="12" hidden="false" customHeight="true" outlineLevel="0" collapsed="false">
      <c r="B255" s="50" t="s">
        <v>148</v>
      </c>
      <c r="C255" s="50" t="s">
        <v>259</v>
      </c>
      <c r="D255" s="79" t="s">
        <v>111</v>
      </c>
      <c r="E255" s="80" t="n">
        <v>46197</v>
      </c>
      <c r="F255" s="50" t="s">
        <v>566</v>
      </c>
      <c r="G255" s="81" t="s">
        <v>288</v>
      </c>
      <c r="H255" s="82" t="n">
        <v>2099.83</v>
      </c>
      <c r="I255" s="37" t="s">
        <v>226</v>
      </c>
      <c r="J255" s="37" t="s">
        <v>77</v>
      </c>
      <c r="K255" s="37" t="str">
        <f aca="false">TRIM(IF($B255="UNASSIGNED","NO COST CENTRE ","")&amp;IF(ISNA(MATCH($C255,Mapping!$B$7:$B$36,0)),"UNMAPPED ","")&amp;IF(COUNTIFS($C$4:$C255,$C255,$F$4:$F255,$F255,$H$4:$H255,$H255)&gt;1,"DUPLICATE ","")&amp;IF(AND(NOT(ISNA(MATCH($C255,Mapping!$B$7:$B$36,0))),$H255&lt;-'Control Panel'!$E$16),"CREDIT ","")&amp;IF(AND(NOT(ISNA(MATCH($C255,Mapping!$B$7:$B$36,0))),COUNTIFS(Budget!$B$4:$B$107,$B255,Budget!$C$4:$C$107,$D255)=0),"NO BUDGET ",""))</f>
        <v/>
      </c>
      <c r="L255" s="83" t="str">
        <f aca="false">IF($K255="","OK",$K255)</f>
        <v>OK</v>
      </c>
      <c r="M255" s="47" t="str">
        <f aca="false">IF(EXACT($L255,$I255),"ok","CHECK")</f>
        <v>ok</v>
      </c>
    </row>
    <row r="256" customFormat="false" ht="12" hidden="false" customHeight="true" outlineLevel="0" collapsed="false">
      <c r="B256" s="50" t="s">
        <v>148</v>
      </c>
      <c r="C256" s="50" t="s">
        <v>337</v>
      </c>
      <c r="D256" s="79" t="s">
        <v>109</v>
      </c>
      <c r="E256" s="80" t="n">
        <v>46198</v>
      </c>
      <c r="F256" s="50" t="s">
        <v>567</v>
      </c>
      <c r="G256" s="81" t="s">
        <v>407</v>
      </c>
      <c r="H256" s="82" t="n">
        <v>1468.35</v>
      </c>
      <c r="I256" s="37" t="s">
        <v>226</v>
      </c>
      <c r="J256" s="37" t="s">
        <v>77</v>
      </c>
      <c r="K256" s="37" t="str">
        <f aca="false">TRIM(IF($B256="UNASSIGNED","NO COST CENTRE ","")&amp;IF(ISNA(MATCH($C256,Mapping!$B$7:$B$36,0)),"UNMAPPED ","")&amp;IF(COUNTIFS($C$4:$C256,$C256,$F$4:$F256,$F256,$H$4:$H256,$H256)&gt;1,"DUPLICATE ","")&amp;IF(AND(NOT(ISNA(MATCH($C256,Mapping!$B$7:$B$36,0))),$H256&lt;-'Control Panel'!$E$16),"CREDIT ","")&amp;IF(AND(NOT(ISNA(MATCH($C256,Mapping!$B$7:$B$36,0))),COUNTIFS(Budget!$B$4:$B$107,$B256,Budget!$C$4:$C$107,$D256)=0),"NO BUDGET ",""))</f>
        <v/>
      </c>
      <c r="L256" s="83" t="str">
        <f aca="false">IF($K256="","OK",$K256)</f>
        <v>OK</v>
      </c>
      <c r="M256" s="47" t="str">
        <f aca="false">IF(EXACT($L256,$I256),"ok","CHECK")</f>
        <v>ok</v>
      </c>
    </row>
    <row r="257" customFormat="false" ht="12" hidden="false" customHeight="true" outlineLevel="0" collapsed="false">
      <c r="B257" s="50" t="s">
        <v>148</v>
      </c>
      <c r="C257" s="50" t="s">
        <v>337</v>
      </c>
      <c r="D257" s="79" t="s">
        <v>109</v>
      </c>
      <c r="E257" s="80" t="n">
        <v>46198</v>
      </c>
      <c r="F257" s="50" t="s">
        <v>568</v>
      </c>
      <c r="G257" s="81" t="s">
        <v>446</v>
      </c>
      <c r="H257" s="82" t="n">
        <v>1017.26</v>
      </c>
      <c r="I257" s="37" t="s">
        <v>226</v>
      </c>
      <c r="J257" s="37" t="s">
        <v>77</v>
      </c>
      <c r="K257" s="37" t="str">
        <f aca="false">TRIM(IF($B257="UNASSIGNED","NO COST CENTRE ","")&amp;IF(ISNA(MATCH($C257,Mapping!$B$7:$B$36,0)),"UNMAPPED ","")&amp;IF(COUNTIFS($C$4:$C257,$C257,$F$4:$F257,$F257,$H$4:$H257,$H257)&gt;1,"DUPLICATE ","")&amp;IF(AND(NOT(ISNA(MATCH($C257,Mapping!$B$7:$B$36,0))),$H257&lt;-'Control Panel'!$E$16),"CREDIT ","")&amp;IF(AND(NOT(ISNA(MATCH($C257,Mapping!$B$7:$B$36,0))),COUNTIFS(Budget!$B$4:$B$107,$B257,Budget!$C$4:$C$107,$D257)=0),"NO BUDGET ",""))</f>
        <v/>
      </c>
      <c r="L257" s="83" t="str">
        <f aca="false">IF($K257="","OK",$K257)</f>
        <v>OK</v>
      </c>
      <c r="M257" s="47" t="str">
        <f aca="false">IF(EXACT($L257,$I257),"ok","CHECK")</f>
        <v>ok</v>
      </c>
    </row>
    <row r="258" customFormat="false" ht="12" hidden="false" customHeight="true" outlineLevel="0" collapsed="false">
      <c r="B258" s="50" t="s">
        <v>148</v>
      </c>
      <c r="C258" s="50" t="s">
        <v>362</v>
      </c>
      <c r="D258" s="79" t="s">
        <v>120</v>
      </c>
      <c r="E258" s="80" t="n">
        <v>46199</v>
      </c>
      <c r="F258" s="50" t="s">
        <v>569</v>
      </c>
      <c r="G258" s="81" t="s">
        <v>570</v>
      </c>
      <c r="H258" s="82" t="n">
        <v>197.61</v>
      </c>
      <c r="I258" s="37" t="s">
        <v>226</v>
      </c>
      <c r="J258" s="37" t="s">
        <v>77</v>
      </c>
      <c r="K258" s="37" t="str">
        <f aca="false">TRIM(IF($B258="UNASSIGNED","NO COST CENTRE ","")&amp;IF(ISNA(MATCH($C258,Mapping!$B$7:$B$36,0)),"UNMAPPED ","")&amp;IF(COUNTIFS($C$4:$C258,$C258,$F$4:$F258,$F258,$H$4:$H258,$H258)&gt;1,"DUPLICATE ","")&amp;IF(AND(NOT(ISNA(MATCH($C258,Mapping!$B$7:$B$36,0))),$H258&lt;-'Control Panel'!$E$16),"CREDIT ","")&amp;IF(AND(NOT(ISNA(MATCH($C258,Mapping!$B$7:$B$36,0))),COUNTIFS(Budget!$B$4:$B$107,$B258,Budget!$C$4:$C$107,$D258)=0),"NO BUDGET ",""))</f>
        <v/>
      </c>
      <c r="L258" s="83" t="str">
        <f aca="false">IF($K258="","OK",$K258)</f>
        <v>OK</v>
      </c>
      <c r="M258" s="47" t="str">
        <f aca="false">IF(EXACT($L258,$I258),"ok","CHECK")</f>
        <v>ok</v>
      </c>
    </row>
    <row r="259" customFormat="false" ht="12" hidden="false" customHeight="true" outlineLevel="0" collapsed="false">
      <c r="B259" s="50" t="s">
        <v>148</v>
      </c>
      <c r="C259" s="50" t="s">
        <v>227</v>
      </c>
      <c r="D259" s="79" t="s">
        <v>112</v>
      </c>
      <c r="E259" s="80" t="n">
        <v>46200</v>
      </c>
      <c r="F259" s="50" t="s">
        <v>571</v>
      </c>
      <c r="G259" s="81" t="s">
        <v>284</v>
      </c>
      <c r="H259" s="82" t="n">
        <v>5335.91</v>
      </c>
      <c r="I259" s="37" t="s">
        <v>226</v>
      </c>
      <c r="J259" s="37" t="s">
        <v>77</v>
      </c>
      <c r="K259" s="37" t="str">
        <f aca="false">TRIM(IF($B259="UNASSIGNED","NO COST CENTRE ","")&amp;IF(ISNA(MATCH($C259,Mapping!$B$7:$B$36,0)),"UNMAPPED ","")&amp;IF(COUNTIFS($C$4:$C259,$C259,$F$4:$F259,$F259,$H$4:$H259,$H259)&gt;1,"DUPLICATE ","")&amp;IF(AND(NOT(ISNA(MATCH($C259,Mapping!$B$7:$B$36,0))),$H259&lt;-'Control Panel'!$E$16),"CREDIT ","")&amp;IF(AND(NOT(ISNA(MATCH($C259,Mapping!$B$7:$B$36,0))),COUNTIFS(Budget!$B$4:$B$107,$B259,Budget!$C$4:$C$107,$D259)=0),"NO BUDGET ",""))</f>
        <v/>
      </c>
      <c r="L259" s="83" t="str">
        <f aca="false">IF($K259="","OK",$K259)</f>
        <v>OK</v>
      </c>
      <c r="M259" s="47" t="str">
        <f aca="false">IF(EXACT($L259,$I259),"ok","CHECK")</f>
        <v>ok</v>
      </c>
    </row>
    <row r="260" customFormat="false" ht="12" hidden="false" customHeight="true" outlineLevel="0" collapsed="false">
      <c r="B260" s="50" t="s">
        <v>148</v>
      </c>
      <c r="C260" s="50" t="s">
        <v>247</v>
      </c>
      <c r="D260" s="79" t="s">
        <v>110</v>
      </c>
      <c r="E260" s="80" t="n">
        <v>46200</v>
      </c>
      <c r="F260" s="50" t="s">
        <v>572</v>
      </c>
      <c r="G260" s="81" t="s">
        <v>297</v>
      </c>
      <c r="H260" s="82" t="n">
        <v>2004.23</v>
      </c>
      <c r="I260" s="37" t="s">
        <v>226</v>
      </c>
      <c r="J260" s="37" t="s">
        <v>77</v>
      </c>
      <c r="K260" s="37" t="str">
        <f aca="false">TRIM(IF($B260="UNASSIGNED","NO COST CENTRE ","")&amp;IF(ISNA(MATCH($C260,Mapping!$B$7:$B$36,0)),"UNMAPPED ","")&amp;IF(COUNTIFS($C$4:$C260,$C260,$F$4:$F260,$F260,$H$4:$H260,$H260)&gt;1,"DUPLICATE ","")&amp;IF(AND(NOT(ISNA(MATCH($C260,Mapping!$B$7:$B$36,0))),$H260&lt;-'Control Panel'!$E$16),"CREDIT ","")&amp;IF(AND(NOT(ISNA(MATCH($C260,Mapping!$B$7:$B$36,0))),COUNTIFS(Budget!$B$4:$B$107,$B260,Budget!$C$4:$C$107,$D260)=0),"NO BUDGET ",""))</f>
        <v/>
      </c>
      <c r="L260" s="83" t="str">
        <f aca="false">IF($K260="","OK",$K260)</f>
        <v>OK</v>
      </c>
      <c r="M260" s="47" t="str">
        <f aca="false">IF(EXACT($L260,$I260),"ok","CHECK")</f>
        <v>ok</v>
      </c>
    </row>
    <row r="261" customFormat="false" ht="12" hidden="false" customHeight="true" outlineLevel="0" collapsed="false">
      <c r="B261" s="50" t="s">
        <v>148</v>
      </c>
      <c r="C261" s="50" t="s">
        <v>244</v>
      </c>
      <c r="D261" s="79" t="s">
        <v>111</v>
      </c>
      <c r="E261" s="80" t="n">
        <v>46200</v>
      </c>
      <c r="F261" s="50" t="s">
        <v>573</v>
      </c>
      <c r="G261" s="81" t="s">
        <v>318</v>
      </c>
      <c r="H261" s="82" t="n">
        <v>945.54</v>
      </c>
      <c r="I261" s="37" t="s">
        <v>226</v>
      </c>
      <c r="J261" s="37" t="s">
        <v>77</v>
      </c>
      <c r="K261" s="37" t="str">
        <f aca="false">TRIM(IF($B261="UNASSIGNED","NO COST CENTRE ","")&amp;IF(ISNA(MATCH($C261,Mapping!$B$7:$B$36,0)),"UNMAPPED ","")&amp;IF(COUNTIFS($C$4:$C261,$C261,$F$4:$F261,$F261,$H$4:$H261,$H261)&gt;1,"DUPLICATE ","")&amp;IF(AND(NOT(ISNA(MATCH($C261,Mapping!$B$7:$B$36,0))),$H261&lt;-'Control Panel'!$E$16),"CREDIT ","")&amp;IF(AND(NOT(ISNA(MATCH($C261,Mapping!$B$7:$B$36,0))),COUNTIFS(Budget!$B$4:$B$107,$B261,Budget!$C$4:$C$107,$D261)=0),"NO BUDGET ",""))</f>
        <v/>
      </c>
      <c r="L261" s="83" t="str">
        <f aca="false">IF($K261="","OK",$K261)</f>
        <v>OK</v>
      </c>
      <c r="M261" s="47" t="str">
        <f aca="false">IF(EXACT($L261,$I261),"ok","CHECK")</f>
        <v>ok</v>
      </c>
    </row>
    <row r="262" customFormat="false" ht="12" hidden="false" customHeight="true" outlineLevel="0" collapsed="false">
      <c r="B262" s="50" t="s">
        <v>148</v>
      </c>
      <c r="C262" s="50" t="s">
        <v>289</v>
      </c>
      <c r="D262" s="79" t="s">
        <v>111</v>
      </c>
      <c r="E262" s="80" t="n">
        <v>46202</v>
      </c>
      <c r="F262" s="50" t="s">
        <v>574</v>
      </c>
      <c r="G262" s="81" t="s">
        <v>342</v>
      </c>
      <c r="H262" s="82" t="n">
        <v>2067.34</v>
      </c>
      <c r="I262" s="37" t="s">
        <v>226</v>
      </c>
      <c r="J262" s="37" t="s">
        <v>77</v>
      </c>
      <c r="K262" s="37" t="str">
        <f aca="false">TRIM(IF($B262="UNASSIGNED","NO COST CENTRE ","")&amp;IF(ISNA(MATCH($C262,Mapping!$B$7:$B$36,0)),"UNMAPPED ","")&amp;IF(COUNTIFS($C$4:$C262,$C262,$F$4:$F262,$F262,$H$4:$H262,$H262)&gt;1,"DUPLICATE ","")&amp;IF(AND(NOT(ISNA(MATCH($C262,Mapping!$B$7:$B$36,0))),$H262&lt;-'Control Panel'!$E$16),"CREDIT ","")&amp;IF(AND(NOT(ISNA(MATCH($C262,Mapping!$B$7:$B$36,0))),COUNTIFS(Budget!$B$4:$B$107,$B262,Budget!$C$4:$C$107,$D262)=0),"NO BUDGET ",""))</f>
        <v/>
      </c>
      <c r="L262" s="83" t="str">
        <f aca="false">IF($K262="","OK",$K262)</f>
        <v>OK</v>
      </c>
      <c r="M262" s="47" t="str">
        <f aca="false">IF(EXACT($L262,$I262),"ok","CHECK")</f>
        <v>ok</v>
      </c>
    </row>
    <row r="263" customFormat="false" ht="12" hidden="false" customHeight="true" outlineLevel="0" collapsed="false">
      <c r="B263" s="50" t="s">
        <v>148</v>
      </c>
      <c r="C263" s="50" t="s">
        <v>337</v>
      </c>
      <c r="D263" s="79" t="s">
        <v>109</v>
      </c>
      <c r="E263" s="80" t="n">
        <v>46202</v>
      </c>
      <c r="F263" s="50" t="s">
        <v>575</v>
      </c>
      <c r="G263" s="81" t="s">
        <v>268</v>
      </c>
      <c r="H263" s="82" t="n">
        <v>687.21</v>
      </c>
      <c r="I263" s="37" t="s">
        <v>226</v>
      </c>
      <c r="J263" s="37" t="s">
        <v>77</v>
      </c>
      <c r="K263" s="37" t="str">
        <f aca="false">TRIM(IF($B263="UNASSIGNED","NO COST CENTRE ","")&amp;IF(ISNA(MATCH($C263,Mapping!$B$7:$B$36,0)),"UNMAPPED ","")&amp;IF(COUNTIFS($C$4:$C263,$C263,$F$4:$F263,$F263,$H$4:$H263,$H263)&gt;1,"DUPLICATE ","")&amp;IF(AND(NOT(ISNA(MATCH($C263,Mapping!$B$7:$B$36,0))),$H263&lt;-'Control Panel'!$E$16),"CREDIT ","")&amp;IF(AND(NOT(ISNA(MATCH($C263,Mapping!$B$7:$B$36,0))),COUNTIFS(Budget!$B$4:$B$107,$B263,Budget!$C$4:$C$107,$D263)=0),"NO BUDGET ",""))</f>
        <v/>
      </c>
      <c r="L263" s="83" t="str">
        <f aca="false">IF($K263="","OK",$K263)</f>
        <v>OK</v>
      </c>
      <c r="M263" s="47" t="str">
        <f aca="false">IF(EXACT($L263,$I263),"ok","CHECK")</f>
        <v>ok</v>
      </c>
    </row>
    <row r="264" customFormat="false" ht="12" hidden="false" customHeight="true" outlineLevel="0" collapsed="false">
      <c r="B264" s="50" t="s">
        <v>148</v>
      </c>
      <c r="C264" s="50" t="s">
        <v>241</v>
      </c>
      <c r="D264" s="79" t="s">
        <v>111</v>
      </c>
      <c r="E264" s="80" t="n">
        <v>46202</v>
      </c>
      <c r="F264" s="50" t="s">
        <v>576</v>
      </c>
      <c r="G264" s="81" t="s">
        <v>360</v>
      </c>
      <c r="H264" s="82" t="n">
        <v>898.07</v>
      </c>
      <c r="I264" s="37" t="s">
        <v>226</v>
      </c>
      <c r="J264" s="37" t="s">
        <v>77</v>
      </c>
      <c r="K264" s="37" t="str">
        <f aca="false">TRIM(IF($B264="UNASSIGNED","NO COST CENTRE ","")&amp;IF(ISNA(MATCH($C264,Mapping!$B$7:$B$36,0)),"UNMAPPED ","")&amp;IF(COUNTIFS($C$4:$C264,$C264,$F$4:$F264,$F264,$H$4:$H264,$H264)&gt;1,"DUPLICATE ","")&amp;IF(AND(NOT(ISNA(MATCH($C264,Mapping!$B$7:$B$36,0))),$H264&lt;-'Control Panel'!$E$16),"CREDIT ","")&amp;IF(AND(NOT(ISNA(MATCH($C264,Mapping!$B$7:$B$36,0))),COUNTIFS(Budget!$B$4:$B$107,$B264,Budget!$C$4:$C$107,$D264)=0),"NO BUDGET ",""))</f>
        <v/>
      </c>
      <c r="L264" s="83" t="str">
        <f aca="false">IF($K264="","OK",$K264)</f>
        <v>OK</v>
      </c>
      <c r="M264" s="47" t="str">
        <f aca="false">IF(EXACT($L264,$I264),"ok","CHECK")</f>
        <v>ok</v>
      </c>
    </row>
    <row r="265" customFormat="false" ht="12" hidden="false" customHeight="true" outlineLevel="0" collapsed="false">
      <c r="B265" s="50" t="s">
        <v>149</v>
      </c>
      <c r="C265" s="50" t="s">
        <v>337</v>
      </c>
      <c r="D265" s="79" t="s">
        <v>109</v>
      </c>
      <c r="E265" s="80" t="n">
        <v>46174</v>
      </c>
      <c r="F265" s="50" t="s">
        <v>577</v>
      </c>
      <c r="G265" s="81" t="s">
        <v>293</v>
      </c>
      <c r="H265" s="82" t="n">
        <v>1491.94</v>
      </c>
      <c r="I265" s="37" t="s">
        <v>226</v>
      </c>
      <c r="J265" s="37" t="s">
        <v>77</v>
      </c>
      <c r="K265" s="37" t="str">
        <f aca="false">TRIM(IF($B265="UNASSIGNED","NO COST CENTRE ","")&amp;IF(ISNA(MATCH($C265,Mapping!$B$7:$B$36,0)),"UNMAPPED ","")&amp;IF(COUNTIFS($C$4:$C265,$C265,$F$4:$F265,$F265,$H$4:$H265,$H265)&gt;1,"DUPLICATE ","")&amp;IF(AND(NOT(ISNA(MATCH($C265,Mapping!$B$7:$B$36,0))),$H265&lt;-'Control Panel'!$E$16),"CREDIT ","")&amp;IF(AND(NOT(ISNA(MATCH($C265,Mapping!$B$7:$B$36,0))),COUNTIFS(Budget!$B$4:$B$107,$B265,Budget!$C$4:$C$107,$D265)=0),"NO BUDGET ",""))</f>
        <v/>
      </c>
      <c r="L265" s="83" t="str">
        <f aca="false">IF($K265="","OK",$K265)</f>
        <v>OK</v>
      </c>
      <c r="M265" s="47" t="str">
        <f aca="false">IF(EXACT($L265,$I265),"ok","CHECK")</f>
        <v>ok</v>
      </c>
    </row>
    <row r="266" customFormat="false" ht="12" hidden="false" customHeight="true" outlineLevel="0" collapsed="false">
      <c r="B266" s="50" t="s">
        <v>149</v>
      </c>
      <c r="C266" s="50" t="s">
        <v>337</v>
      </c>
      <c r="D266" s="79" t="s">
        <v>109</v>
      </c>
      <c r="E266" s="80" t="n">
        <v>46174</v>
      </c>
      <c r="F266" s="50" t="s">
        <v>577</v>
      </c>
      <c r="G266" s="81" t="s">
        <v>293</v>
      </c>
      <c r="H266" s="82" t="n">
        <v>1491.94</v>
      </c>
      <c r="I266" s="65" t="s">
        <v>578</v>
      </c>
      <c r="J266" s="37" t="s">
        <v>77</v>
      </c>
      <c r="K266" s="37" t="str">
        <f aca="false">TRIM(IF($B266="UNASSIGNED","NO COST CENTRE ","")&amp;IF(ISNA(MATCH($C266,Mapping!$B$7:$B$36,0)),"UNMAPPED ","")&amp;IF(COUNTIFS($C$4:$C266,$C266,$F$4:$F266,$F266,$H$4:$H266,$H266)&gt;1,"DUPLICATE ","")&amp;IF(AND(NOT(ISNA(MATCH($C266,Mapping!$B$7:$B$36,0))),$H266&lt;-'Control Panel'!$E$16),"CREDIT ","")&amp;IF(AND(NOT(ISNA(MATCH($C266,Mapping!$B$7:$B$36,0))),COUNTIFS(Budget!$B$4:$B$107,$B266,Budget!$C$4:$C$107,$D266)=0),"NO BUDGET ",""))</f>
        <v>DUPLICATE</v>
      </c>
      <c r="L266" s="83" t="str">
        <f aca="false">IF($K266="","OK",$K266)</f>
        <v>DUPLICATE</v>
      </c>
      <c r="M266" s="47" t="str">
        <f aca="false">IF(EXACT($L266,$I266),"ok","CHECK")</f>
        <v>ok</v>
      </c>
    </row>
    <row r="267" customFormat="false" ht="12" hidden="false" customHeight="true" outlineLevel="0" collapsed="false">
      <c r="B267" s="50" t="s">
        <v>149</v>
      </c>
      <c r="C267" s="50" t="s">
        <v>244</v>
      </c>
      <c r="D267" s="79" t="s">
        <v>111</v>
      </c>
      <c r="E267" s="80" t="n">
        <v>46176</v>
      </c>
      <c r="F267" s="50" t="s">
        <v>579</v>
      </c>
      <c r="G267" s="81" t="s">
        <v>318</v>
      </c>
      <c r="H267" s="82" t="n">
        <v>1552.26</v>
      </c>
      <c r="I267" s="37" t="s">
        <v>226</v>
      </c>
      <c r="J267" s="37" t="s">
        <v>77</v>
      </c>
      <c r="K267" s="37" t="str">
        <f aca="false">TRIM(IF($B267="UNASSIGNED","NO COST CENTRE ","")&amp;IF(ISNA(MATCH($C267,Mapping!$B$7:$B$36,0)),"UNMAPPED ","")&amp;IF(COUNTIFS($C$4:$C267,$C267,$F$4:$F267,$F267,$H$4:$H267,$H267)&gt;1,"DUPLICATE ","")&amp;IF(AND(NOT(ISNA(MATCH($C267,Mapping!$B$7:$B$36,0))),$H267&lt;-'Control Panel'!$E$16),"CREDIT ","")&amp;IF(AND(NOT(ISNA(MATCH($C267,Mapping!$B$7:$B$36,0))),COUNTIFS(Budget!$B$4:$B$107,$B267,Budget!$C$4:$C$107,$D267)=0),"NO BUDGET ",""))</f>
        <v/>
      </c>
      <c r="L267" s="83" t="str">
        <f aca="false">IF($K267="","OK",$K267)</f>
        <v>OK</v>
      </c>
      <c r="M267" s="47" t="str">
        <f aca="false">IF(EXACT($L267,$I267),"ok","CHECK")</f>
        <v>ok</v>
      </c>
    </row>
    <row r="268" customFormat="false" ht="12" hidden="false" customHeight="true" outlineLevel="0" collapsed="false">
      <c r="B268" s="50" t="s">
        <v>149</v>
      </c>
      <c r="C268" s="50" t="s">
        <v>580</v>
      </c>
      <c r="D268" s="79" t="s">
        <v>119</v>
      </c>
      <c r="E268" s="80" t="n">
        <v>46176</v>
      </c>
      <c r="F268" s="50" t="s">
        <v>581</v>
      </c>
      <c r="G268" s="81" t="s">
        <v>582</v>
      </c>
      <c r="H268" s="82" t="n">
        <v>1756.8</v>
      </c>
      <c r="I268" s="37" t="s">
        <v>226</v>
      </c>
      <c r="J268" s="37" t="s">
        <v>77</v>
      </c>
      <c r="K268" s="37" t="str">
        <f aca="false">TRIM(IF($B268="UNASSIGNED","NO COST CENTRE ","")&amp;IF(ISNA(MATCH($C268,Mapping!$B$7:$B$36,0)),"UNMAPPED ","")&amp;IF(COUNTIFS($C$4:$C268,$C268,$F$4:$F268,$F268,$H$4:$H268,$H268)&gt;1,"DUPLICATE ","")&amp;IF(AND(NOT(ISNA(MATCH($C268,Mapping!$B$7:$B$36,0))),$H268&lt;-'Control Panel'!$E$16),"CREDIT ","")&amp;IF(AND(NOT(ISNA(MATCH($C268,Mapping!$B$7:$B$36,0))),COUNTIFS(Budget!$B$4:$B$107,$B268,Budget!$C$4:$C$107,$D268)=0),"NO BUDGET ",""))</f>
        <v/>
      </c>
      <c r="L268" s="83" t="str">
        <f aca="false">IF($K268="","OK",$K268)</f>
        <v>OK</v>
      </c>
      <c r="M268" s="47" t="str">
        <f aca="false">IF(EXACT($L268,$I268),"ok","CHECK")</f>
        <v>ok</v>
      </c>
    </row>
    <row r="269" customFormat="false" ht="12" hidden="false" customHeight="true" outlineLevel="0" collapsed="false">
      <c r="B269" s="50" t="s">
        <v>149</v>
      </c>
      <c r="C269" s="50" t="s">
        <v>305</v>
      </c>
      <c r="D269" s="79" t="s">
        <v>115</v>
      </c>
      <c r="E269" s="80" t="n">
        <v>46177</v>
      </c>
      <c r="F269" s="50" t="s">
        <v>583</v>
      </c>
      <c r="G269" s="81" t="s">
        <v>324</v>
      </c>
      <c r="H269" s="82" t="n">
        <v>1313.62</v>
      </c>
      <c r="I269" s="37" t="s">
        <v>226</v>
      </c>
      <c r="J269" s="37" t="s">
        <v>77</v>
      </c>
      <c r="K269" s="37" t="str">
        <f aca="false">TRIM(IF($B269="UNASSIGNED","NO COST CENTRE ","")&amp;IF(ISNA(MATCH($C269,Mapping!$B$7:$B$36,0)),"UNMAPPED ","")&amp;IF(COUNTIFS($C$4:$C269,$C269,$F$4:$F269,$F269,$H$4:$H269,$H269)&gt;1,"DUPLICATE ","")&amp;IF(AND(NOT(ISNA(MATCH($C269,Mapping!$B$7:$B$36,0))),$H269&lt;-'Control Panel'!$E$16),"CREDIT ","")&amp;IF(AND(NOT(ISNA(MATCH($C269,Mapping!$B$7:$B$36,0))),COUNTIFS(Budget!$B$4:$B$107,$B269,Budget!$C$4:$C$107,$D269)=0),"NO BUDGET ",""))</f>
        <v/>
      </c>
      <c r="L269" s="83" t="str">
        <f aca="false">IF($K269="","OK",$K269)</f>
        <v>OK</v>
      </c>
      <c r="M269" s="47" t="str">
        <f aca="false">IF(EXACT($L269,$I269),"ok","CHECK")</f>
        <v>ok</v>
      </c>
    </row>
    <row r="270" customFormat="false" ht="12" hidden="false" customHeight="true" outlineLevel="0" collapsed="false">
      <c r="B270" s="50" t="s">
        <v>149</v>
      </c>
      <c r="C270" s="50" t="s">
        <v>289</v>
      </c>
      <c r="D270" s="79" t="s">
        <v>111</v>
      </c>
      <c r="E270" s="80" t="n">
        <v>46177</v>
      </c>
      <c r="F270" s="50" t="s">
        <v>584</v>
      </c>
      <c r="G270" s="81" t="s">
        <v>246</v>
      </c>
      <c r="H270" s="82" t="n">
        <v>841.48</v>
      </c>
      <c r="I270" s="37" t="s">
        <v>226</v>
      </c>
      <c r="J270" s="37" t="s">
        <v>77</v>
      </c>
      <c r="K270" s="37" t="str">
        <f aca="false">TRIM(IF($B270="UNASSIGNED","NO COST CENTRE ","")&amp;IF(ISNA(MATCH($C270,Mapping!$B$7:$B$36,0)),"UNMAPPED ","")&amp;IF(COUNTIFS($C$4:$C270,$C270,$F$4:$F270,$F270,$H$4:$H270,$H270)&gt;1,"DUPLICATE ","")&amp;IF(AND(NOT(ISNA(MATCH($C270,Mapping!$B$7:$B$36,0))),$H270&lt;-'Control Panel'!$E$16),"CREDIT ","")&amp;IF(AND(NOT(ISNA(MATCH($C270,Mapping!$B$7:$B$36,0))),COUNTIFS(Budget!$B$4:$B$107,$B270,Budget!$C$4:$C$107,$D270)=0),"NO BUDGET ",""))</f>
        <v/>
      </c>
      <c r="L270" s="83" t="str">
        <f aca="false">IF($K270="","OK",$K270)</f>
        <v>OK</v>
      </c>
      <c r="M270" s="47" t="str">
        <f aca="false">IF(EXACT($L270,$I270),"ok","CHECK")</f>
        <v>ok</v>
      </c>
    </row>
    <row r="271" customFormat="false" ht="12" hidden="false" customHeight="true" outlineLevel="0" collapsed="false">
      <c r="B271" s="50" t="s">
        <v>149</v>
      </c>
      <c r="C271" s="50" t="s">
        <v>241</v>
      </c>
      <c r="D271" s="79" t="s">
        <v>111</v>
      </c>
      <c r="E271" s="80" t="n">
        <v>46179</v>
      </c>
      <c r="F271" s="50" t="s">
        <v>585</v>
      </c>
      <c r="G271" s="81" t="s">
        <v>342</v>
      </c>
      <c r="H271" s="82" t="n">
        <v>1560.81</v>
      </c>
      <c r="I271" s="37" t="s">
        <v>226</v>
      </c>
      <c r="J271" s="37" t="s">
        <v>77</v>
      </c>
      <c r="K271" s="37" t="str">
        <f aca="false">TRIM(IF($B271="UNASSIGNED","NO COST CENTRE ","")&amp;IF(ISNA(MATCH($C271,Mapping!$B$7:$B$36,0)),"UNMAPPED ","")&amp;IF(COUNTIFS($C$4:$C271,$C271,$F$4:$F271,$F271,$H$4:$H271,$H271)&gt;1,"DUPLICATE ","")&amp;IF(AND(NOT(ISNA(MATCH($C271,Mapping!$B$7:$B$36,0))),$H271&lt;-'Control Panel'!$E$16),"CREDIT ","")&amp;IF(AND(NOT(ISNA(MATCH($C271,Mapping!$B$7:$B$36,0))),COUNTIFS(Budget!$B$4:$B$107,$B271,Budget!$C$4:$C$107,$D271)=0),"NO BUDGET ",""))</f>
        <v/>
      </c>
      <c r="L271" s="83" t="str">
        <f aca="false">IF($K271="","OK",$K271)</f>
        <v>OK</v>
      </c>
      <c r="M271" s="47" t="str">
        <f aca="false">IF(EXACT($L271,$I271),"ok","CHECK")</f>
        <v>ok</v>
      </c>
    </row>
    <row r="272" customFormat="false" ht="12" hidden="false" customHeight="true" outlineLevel="0" collapsed="false">
      <c r="B272" s="50" t="s">
        <v>149</v>
      </c>
      <c r="C272" s="50" t="s">
        <v>377</v>
      </c>
      <c r="D272" s="79" t="s">
        <v>114</v>
      </c>
      <c r="E272" s="80" t="n">
        <v>46181</v>
      </c>
      <c r="F272" s="50" t="s">
        <v>586</v>
      </c>
      <c r="G272" s="81" t="s">
        <v>512</v>
      </c>
      <c r="H272" s="82" t="n">
        <v>1390.3</v>
      </c>
      <c r="I272" s="37" t="s">
        <v>226</v>
      </c>
      <c r="J272" s="37" t="s">
        <v>77</v>
      </c>
      <c r="K272" s="37" t="str">
        <f aca="false">TRIM(IF($B272="UNASSIGNED","NO COST CENTRE ","")&amp;IF(ISNA(MATCH($C272,Mapping!$B$7:$B$36,0)),"UNMAPPED ","")&amp;IF(COUNTIFS($C$4:$C272,$C272,$F$4:$F272,$F272,$H$4:$H272,$H272)&gt;1,"DUPLICATE ","")&amp;IF(AND(NOT(ISNA(MATCH($C272,Mapping!$B$7:$B$36,0))),$H272&lt;-'Control Panel'!$E$16),"CREDIT ","")&amp;IF(AND(NOT(ISNA(MATCH($C272,Mapping!$B$7:$B$36,0))),COUNTIFS(Budget!$B$4:$B$107,$B272,Budget!$C$4:$C$107,$D272)=0),"NO BUDGET ",""))</f>
        <v/>
      </c>
      <c r="L272" s="83" t="str">
        <f aca="false">IF($K272="","OK",$K272)</f>
        <v>OK</v>
      </c>
      <c r="M272" s="47" t="str">
        <f aca="false">IF(EXACT($L272,$I272),"ok","CHECK")</f>
        <v>ok</v>
      </c>
    </row>
    <row r="273" customFormat="false" ht="12" hidden="false" customHeight="true" outlineLevel="0" collapsed="false">
      <c r="B273" s="50" t="s">
        <v>149</v>
      </c>
      <c r="C273" s="50" t="s">
        <v>241</v>
      </c>
      <c r="D273" s="79" t="s">
        <v>111</v>
      </c>
      <c r="E273" s="80" t="n">
        <v>46181</v>
      </c>
      <c r="F273" s="50" t="s">
        <v>587</v>
      </c>
      <c r="G273" s="81" t="s">
        <v>243</v>
      </c>
      <c r="H273" s="82" t="n">
        <v>969.41</v>
      </c>
      <c r="I273" s="37" t="s">
        <v>226</v>
      </c>
      <c r="J273" s="37" t="s">
        <v>77</v>
      </c>
      <c r="K273" s="37" t="str">
        <f aca="false">TRIM(IF($B273="UNASSIGNED","NO COST CENTRE ","")&amp;IF(ISNA(MATCH($C273,Mapping!$B$7:$B$36,0)),"UNMAPPED ","")&amp;IF(COUNTIFS($C$4:$C273,$C273,$F$4:$F273,$F273,$H$4:$H273,$H273)&gt;1,"DUPLICATE ","")&amp;IF(AND(NOT(ISNA(MATCH($C273,Mapping!$B$7:$B$36,0))),$H273&lt;-'Control Panel'!$E$16),"CREDIT ","")&amp;IF(AND(NOT(ISNA(MATCH($C273,Mapping!$B$7:$B$36,0))),COUNTIFS(Budget!$B$4:$B$107,$B273,Budget!$C$4:$C$107,$D273)=0),"NO BUDGET ",""))</f>
        <v/>
      </c>
      <c r="L273" s="83" t="str">
        <f aca="false">IF($K273="","OK",$K273)</f>
        <v>OK</v>
      </c>
      <c r="M273" s="47" t="str">
        <f aca="false">IF(EXACT($L273,$I273),"ok","CHECK")</f>
        <v>ok</v>
      </c>
    </row>
    <row r="274" customFormat="false" ht="12" hidden="false" customHeight="true" outlineLevel="0" collapsed="false">
      <c r="B274" s="50" t="s">
        <v>149</v>
      </c>
      <c r="C274" s="50" t="s">
        <v>244</v>
      </c>
      <c r="D274" s="79" t="s">
        <v>111</v>
      </c>
      <c r="E274" s="80" t="n">
        <v>46182</v>
      </c>
      <c r="F274" s="50" t="s">
        <v>588</v>
      </c>
      <c r="G274" s="81" t="s">
        <v>342</v>
      </c>
      <c r="H274" s="82" t="n">
        <v>1711.5</v>
      </c>
      <c r="I274" s="37" t="s">
        <v>226</v>
      </c>
      <c r="J274" s="37" t="s">
        <v>77</v>
      </c>
      <c r="K274" s="37" t="str">
        <f aca="false">TRIM(IF($B274="UNASSIGNED","NO COST CENTRE ","")&amp;IF(ISNA(MATCH($C274,Mapping!$B$7:$B$36,0)),"UNMAPPED ","")&amp;IF(COUNTIFS($C$4:$C274,$C274,$F$4:$F274,$F274,$H$4:$H274,$H274)&gt;1,"DUPLICATE ","")&amp;IF(AND(NOT(ISNA(MATCH($C274,Mapping!$B$7:$B$36,0))),$H274&lt;-'Control Panel'!$E$16),"CREDIT ","")&amp;IF(AND(NOT(ISNA(MATCH($C274,Mapping!$B$7:$B$36,0))),COUNTIFS(Budget!$B$4:$B$107,$B274,Budget!$C$4:$C$107,$D274)=0),"NO BUDGET ",""))</f>
        <v/>
      </c>
      <c r="L274" s="83" t="str">
        <f aca="false">IF($K274="","OK",$K274)</f>
        <v>OK</v>
      </c>
      <c r="M274" s="47" t="str">
        <f aca="false">IF(EXACT($L274,$I274),"ok","CHECK")</f>
        <v>ok</v>
      </c>
    </row>
    <row r="275" customFormat="false" ht="12" hidden="false" customHeight="true" outlineLevel="0" collapsed="false">
      <c r="B275" s="50" t="s">
        <v>149</v>
      </c>
      <c r="C275" s="50" t="s">
        <v>227</v>
      </c>
      <c r="D275" s="79" t="s">
        <v>112</v>
      </c>
      <c r="E275" s="80" t="n">
        <v>46184</v>
      </c>
      <c r="F275" s="50" t="s">
        <v>589</v>
      </c>
      <c r="G275" s="81" t="s">
        <v>499</v>
      </c>
      <c r="H275" s="82" t="n">
        <v>3843.71</v>
      </c>
      <c r="I275" s="37" t="s">
        <v>226</v>
      </c>
      <c r="J275" s="37" t="s">
        <v>77</v>
      </c>
      <c r="K275" s="37" t="str">
        <f aca="false">TRIM(IF($B275="UNASSIGNED","NO COST CENTRE ","")&amp;IF(ISNA(MATCH($C275,Mapping!$B$7:$B$36,0)),"UNMAPPED ","")&amp;IF(COUNTIFS($C$4:$C275,$C275,$F$4:$F275,$F275,$H$4:$H275,$H275)&gt;1,"DUPLICATE ","")&amp;IF(AND(NOT(ISNA(MATCH($C275,Mapping!$B$7:$B$36,0))),$H275&lt;-'Control Panel'!$E$16),"CREDIT ","")&amp;IF(AND(NOT(ISNA(MATCH($C275,Mapping!$B$7:$B$36,0))),COUNTIFS(Budget!$B$4:$B$107,$B275,Budget!$C$4:$C$107,$D275)=0),"NO BUDGET ",""))</f>
        <v/>
      </c>
      <c r="L275" s="83" t="str">
        <f aca="false">IF($K275="","OK",$K275)</f>
        <v>OK</v>
      </c>
      <c r="M275" s="47" t="str">
        <f aca="false">IF(EXACT($L275,$I275),"ok","CHECK")</f>
        <v>ok</v>
      </c>
    </row>
    <row r="276" customFormat="false" ht="12" hidden="false" customHeight="true" outlineLevel="0" collapsed="false">
      <c r="B276" s="50" t="s">
        <v>149</v>
      </c>
      <c r="C276" s="50" t="s">
        <v>244</v>
      </c>
      <c r="D276" s="79" t="s">
        <v>111</v>
      </c>
      <c r="E276" s="80" t="n">
        <v>46185</v>
      </c>
      <c r="F276" s="50" t="s">
        <v>590</v>
      </c>
      <c r="G276" s="81" t="s">
        <v>243</v>
      </c>
      <c r="H276" s="82" t="n">
        <v>1249.89</v>
      </c>
      <c r="I276" s="37" t="s">
        <v>226</v>
      </c>
      <c r="J276" s="37" t="s">
        <v>77</v>
      </c>
      <c r="K276" s="37" t="str">
        <f aca="false">TRIM(IF($B276="UNASSIGNED","NO COST CENTRE ","")&amp;IF(ISNA(MATCH($C276,Mapping!$B$7:$B$36,0)),"UNMAPPED ","")&amp;IF(COUNTIFS($C$4:$C276,$C276,$F$4:$F276,$F276,$H$4:$H276,$H276)&gt;1,"DUPLICATE ","")&amp;IF(AND(NOT(ISNA(MATCH($C276,Mapping!$B$7:$B$36,0))),$H276&lt;-'Control Panel'!$E$16),"CREDIT ","")&amp;IF(AND(NOT(ISNA(MATCH($C276,Mapping!$B$7:$B$36,0))),COUNTIFS(Budget!$B$4:$B$107,$B276,Budget!$C$4:$C$107,$D276)=0),"NO BUDGET ",""))</f>
        <v/>
      </c>
      <c r="L276" s="83" t="str">
        <f aca="false">IF($K276="","OK",$K276)</f>
        <v>OK</v>
      </c>
      <c r="M276" s="47" t="str">
        <f aca="false">IF(EXACT($L276,$I276),"ok","CHECK")</f>
        <v>ok</v>
      </c>
    </row>
    <row r="277" customFormat="false" ht="12" hidden="false" customHeight="true" outlineLevel="0" collapsed="false">
      <c r="B277" s="50" t="s">
        <v>149</v>
      </c>
      <c r="C277" s="50" t="s">
        <v>362</v>
      </c>
      <c r="D277" s="79" t="s">
        <v>120</v>
      </c>
      <c r="E277" s="80" t="n">
        <v>46185</v>
      </c>
      <c r="F277" s="50" t="s">
        <v>591</v>
      </c>
      <c r="G277" s="81" t="s">
        <v>592</v>
      </c>
      <c r="H277" s="82" t="n">
        <v>892.01</v>
      </c>
      <c r="I277" s="37" t="s">
        <v>226</v>
      </c>
      <c r="J277" s="37" t="s">
        <v>77</v>
      </c>
      <c r="K277" s="37" t="str">
        <f aca="false">TRIM(IF($B277="UNASSIGNED","NO COST CENTRE ","")&amp;IF(ISNA(MATCH($C277,Mapping!$B$7:$B$36,0)),"UNMAPPED ","")&amp;IF(COUNTIFS($C$4:$C277,$C277,$F$4:$F277,$F277,$H$4:$H277,$H277)&gt;1,"DUPLICATE ","")&amp;IF(AND(NOT(ISNA(MATCH($C277,Mapping!$B$7:$B$36,0))),$H277&lt;-'Control Panel'!$E$16),"CREDIT ","")&amp;IF(AND(NOT(ISNA(MATCH($C277,Mapping!$B$7:$B$36,0))),COUNTIFS(Budget!$B$4:$B$107,$B277,Budget!$C$4:$C$107,$D277)=0),"NO BUDGET ",""))</f>
        <v/>
      </c>
      <c r="L277" s="83" t="str">
        <f aca="false">IF($K277="","OK",$K277)</f>
        <v>OK</v>
      </c>
      <c r="M277" s="47" t="str">
        <f aca="false">IF(EXACT($L277,$I277),"ok","CHECK")</f>
        <v>ok</v>
      </c>
    </row>
    <row r="278" customFormat="false" ht="12" hidden="false" customHeight="true" outlineLevel="0" collapsed="false">
      <c r="B278" s="50" t="s">
        <v>149</v>
      </c>
      <c r="C278" s="50" t="s">
        <v>238</v>
      </c>
      <c r="D278" s="79" t="s">
        <v>110</v>
      </c>
      <c r="E278" s="80" t="n">
        <v>46186</v>
      </c>
      <c r="F278" s="50" t="s">
        <v>593</v>
      </c>
      <c r="G278" s="81" t="s">
        <v>356</v>
      </c>
      <c r="H278" s="82" t="n">
        <v>1816.61</v>
      </c>
      <c r="I278" s="37" t="s">
        <v>226</v>
      </c>
      <c r="J278" s="37" t="s">
        <v>77</v>
      </c>
      <c r="K278" s="37" t="str">
        <f aca="false">TRIM(IF($B278="UNASSIGNED","NO COST CENTRE ","")&amp;IF(ISNA(MATCH($C278,Mapping!$B$7:$B$36,0)),"UNMAPPED ","")&amp;IF(COUNTIFS($C$4:$C278,$C278,$F$4:$F278,$F278,$H$4:$H278,$H278)&gt;1,"DUPLICATE ","")&amp;IF(AND(NOT(ISNA(MATCH($C278,Mapping!$B$7:$B$36,0))),$H278&lt;-'Control Panel'!$E$16),"CREDIT ","")&amp;IF(AND(NOT(ISNA(MATCH($C278,Mapping!$B$7:$B$36,0))),COUNTIFS(Budget!$B$4:$B$107,$B278,Budget!$C$4:$C$107,$D278)=0),"NO BUDGET ",""))</f>
        <v/>
      </c>
      <c r="L278" s="83" t="str">
        <f aca="false">IF($K278="","OK",$K278)</f>
        <v>OK</v>
      </c>
      <c r="M278" s="47" t="str">
        <f aca="false">IF(EXACT($L278,$I278),"ok","CHECK")</f>
        <v>ok</v>
      </c>
    </row>
    <row r="279" customFormat="false" ht="12" hidden="false" customHeight="true" outlineLevel="0" collapsed="false">
      <c r="B279" s="50" t="s">
        <v>149</v>
      </c>
      <c r="C279" s="50" t="s">
        <v>244</v>
      </c>
      <c r="D279" s="79" t="s">
        <v>111</v>
      </c>
      <c r="E279" s="80" t="n">
        <v>46187</v>
      </c>
      <c r="F279" s="50" t="s">
        <v>594</v>
      </c>
      <c r="G279" s="81" t="s">
        <v>318</v>
      </c>
      <c r="H279" s="82" t="n">
        <v>1656.79</v>
      </c>
      <c r="I279" s="37" t="s">
        <v>226</v>
      </c>
      <c r="J279" s="37" t="s">
        <v>77</v>
      </c>
      <c r="K279" s="37" t="str">
        <f aca="false">TRIM(IF($B279="UNASSIGNED","NO COST CENTRE ","")&amp;IF(ISNA(MATCH($C279,Mapping!$B$7:$B$36,0)),"UNMAPPED ","")&amp;IF(COUNTIFS($C$4:$C279,$C279,$F$4:$F279,$F279,$H$4:$H279,$H279)&gt;1,"DUPLICATE ","")&amp;IF(AND(NOT(ISNA(MATCH($C279,Mapping!$B$7:$B$36,0))),$H279&lt;-'Control Panel'!$E$16),"CREDIT ","")&amp;IF(AND(NOT(ISNA(MATCH($C279,Mapping!$B$7:$B$36,0))),COUNTIFS(Budget!$B$4:$B$107,$B279,Budget!$C$4:$C$107,$D279)=0),"NO BUDGET ",""))</f>
        <v/>
      </c>
      <c r="L279" s="83" t="str">
        <f aca="false">IF($K279="","OK",$K279)</f>
        <v>OK</v>
      </c>
      <c r="M279" s="47" t="str">
        <f aca="false">IF(EXACT($L279,$I279),"ok","CHECK")</f>
        <v>ok</v>
      </c>
    </row>
    <row r="280" customFormat="false" ht="12" hidden="false" customHeight="true" outlineLevel="0" collapsed="false">
      <c r="B280" s="50" t="s">
        <v>149</v>
      </c>
      <c r="C280" s="50" t="s">
        <v>241</v>
      </c>
      <c r="D280" s="79" t="s">
        <v>111</v>
      </c>
      <c r="E280" s="80" t="n">
        <v>46189</v>
      </c>
      <c r="F280" s="50" t="s">
        <v>595</v>
      </c>
      <c r="G280" s="81" t="s">
        <v>246</v>
      </c>
      <c r="H280" s="82" t="n">
        <v>1905.9</v>
      </c>
      <c r="I280" s="37" t="s">
        <v>226</v>
      </c>
      <c r="J280" s="37" t="s">
        <v>77</v>
      </c>
      <c r="K280" s="37" t="str">
        <f aca="false">TRIM(IF($B280="UNASSIGNED","NO COST CENTRE ","")&amp;IF(ISNA(MATCH($C280,Mapping!$B$7:$B$36,0)),"UNMAPPED ","")&amp;IF(COUNTIFS($C$4:$C280,$C280,$F$4:$F280,$F280,$H$4:$H280,$H280)&gt;1,"DUPLICATE ","")&amp;IF(AND(NOT(ISNA(MATCH($C280,Mapping!$B$7:$B$36,0))),$H280&lt;-'Control Panel'!$E$16),"CREDIT ","")&amp;IF(AND(NOT(ISNA(MATCH($C280,Mapping!$B$7:$B$36,0))),COUNTIFS(Budget!$B$4:$B$107,$B280,Budget!$C$4:$C$107,$D280)=0),"NO BUDGET ",""))</f>
        <v/>
      </c>
      <c r="L280" s="83" t="str">
        <f aca="false">IF($K280="","OK",$K280)</f>
        <v>OK</v>
      </c>
      <c r="M280" s="47" t="str">
        <f aca="false">IF(EXACT($L280,$I280),"ok","CHECK")</f>
        <v>ok</v>
      </c>
    </row>
    <row r="281" customFormat="false" ht="12" hidden="false" customHeight="true" outlineLevel="0" collapsed="false">
      <c r="B281" s="50" t="s">
        <v>149</v>
      </c>
      <c r="C281" s="50" t="s">
        <v>289</v>
      </c>
      <c r="D281" s="79" t="s">
        <v>111</v>
      </c>
      <c r="E281" s="80" t="n">
        <v>46190</v>
      </c>
      <c r="F281" s="50" t="s">
        <v>596</v>
      </c>
      <c r="G281" s="81" t="s">
        <v>291</v>
      </c>
      <c r="H281" s="82" t="n">
        <v>1993.13</v>
      </c>
      <c r="I281" s="37" t="s">
        <v>226</v>
      </c>
      <c r="J281" s="37" t="s">
        <v>77</v>
      </c>
      <c r="K281" s="37" t="str">
        <f aca="false">TRIM(IF($B281="UNASSIGNED","NO COST CENTRE ","")&amp;IF(ISNA(MATCH($C281,Mapping!$B$7:$B$36,0)),"UNMAPPED ","")&amp;IF(COUNTIFS($C$4:$C281,$C281,$F$4:$F281,$F281,$H$4:$H281,$H281)&gt;1,"DUPLICATE ","")&amp;IF(AND(NOT(ISNA(MATCH($C281,Mapping!$B$7:$B$36,0))),$H281&lt;-'Control Panel'!$E$16),"CREDIT ","")&amp;IF(AND(NOT(ISNA(MATCH($C281,Mapping!$B$7:$B$36,0))),COUNTIFS(Budget!$B$4:$B$107,$B281,Budget!$C$4:$C$107,$D281)=0),"NO BUDGET ",""))</f>
        <v/>
      </c>
      <c r="L281" s="83" t="str">
        <f aca="false">IF($K281="","OK",$K281)</f>
        <v>OK</v>
      </c>
      <c r="M281" s="47" t="str">
        <f aca="false">IF(EXACT($L281,$I281),"ok","CHECK")</f>
        <v>ok</v>
      </c>
    </row>
    <row r="282" customFormat="false" ht="12" hidden="false" customHeight="true" outlineLevel="0" collapsed="false">
      <c r="B282" s="50" t="s">
        <v>149</v>
      </c>
      <c r="C282" s="50" t="s">
        <v>301</v>
      </c>
      <c r="D282" s="79" t="s">
        <v>122</v>
      </c>
      <c r="E282" s="80" t="n">
        <v>46192</v>
      </c>
      <c r="F282" s="50" t="s">
        <v>597</v>
      </c>
      <c r="G282" s="81" t="s">
        <v>237</v>
      </c>
      <c r="H282" s="82" t="n">
        <v>2057.81</v>
      </c>
      <c r="I282" s="37" t="s">
        <v>226</v>
      </c>
      <c r="J282" s="37" t="s">
        <v>77</v>
      </c>
      <c r="K282" s="37" t="str">
        <f aca="false">TRIM(IF($B282="UNASSIGNED","NO COST CENTRE ","")&amp;IF(ISNA(MATCH($C282,Mapping!$B$7:$B$36,0)),"UNMAPPED ","")&amp;IF(COUNTIFS($C$4:$C282,$C282,$F$4:$F282,$F282,$H$4:$H282,$H282)&gt;1,"DUPLICATE ","")&amp;IF(AND(NOT(ISNA(MATCH($C282,Mapping!$B$7:$B$36,0))),$H282&lt;-'Control Panel'!$E$16),"CREDIT ","")&amp;IF(AND(NOT(ISNA(MATCH($C282,Mapping!$B$7:$B$36,0))),COUNTIFS(Budget!$B$4:$B$107,$B282,Budget!$C$4:$C$107,$D282)=0),"NO BUDGET ",""))</f>
        <v/>
      </c>
      <c r="L282" s="83" t="str">
        <f aca="false">IF($K282="","OK",$K282)</f>
        <v>OK</v>
      </c>
      <c r="M282" s="47" t="str">
        <f aca="false">IF(EXACT($L282,$I282),"ok","CHECK")</f>
        <v>ok</v>
      </c>
    </row>
    <row r="283" customFormat="false" ht="12" hidden="false" customHeight="true" outlineLevel="0" collapsed="false">
      <c r="B283" s="50" t="s">
        <v>149</v>
      </c>
      <c r="C283" s="50" t="s">
        <v>230</v>
      </c>
      <c r="D283" s="79" t="s">
        <v>115</v>
      </c>
      <c r="E283" s="80" t="n">
        <v>46195</v>
      </c>
      <c r="F283" s="50" t="s">
        <v>598</v>
      </c>
      <c r="G283" s="81" t="s">
        <v>367</v>
      </c>
      <c r="H283" s="82" t="n">
        <v>1289.75</v>
      </c>
      <c r="I283" s="37" t="s">
        <v>226</v>
      </c>
      <c r="J283" s="37" t="s">
        <v>77</v>
      </c>
      <c r="K283" s="37" t="str">
        <f aca="false">TRIM(IF($B283="UNASSIGNED","NO COST CENTRE ","")&amp;IF(ISNA(MATCH($C283,Mapping!$B$7:$B$36,0)),"UNMAPPED ","")&amp;IF(COUNTIFS($C$4:$C283,$C283,$F$4:$F283,$F283,$H$4:$H283,$H283)&gt;1,"DUPLICATE ","")&amp;IF(AND(NOT(ISNA(MATCH($C283,Mapping!$B$7:$B$36,0))),$H283&lt;-'Control Panel'!$E$16),"CREDIT ","")&amp;IF(AND(NOT(ISNA(MATCH($C283,Mapping!$B$7:$B$36,0))),COUNTIFS(Budget!$B$4:$B$107,$B283,Budget!$C$4:$C$107,$D283)=0),"NO BUDGET ",""))</f>
        <v/>
      </c>
      <c r="L283" s="83" t="str">
        <f aca="false">IF($K283="","OK",$K283)</f>
        <v>OK</v>
      </c>
      <c r="M283" s="47" t="str">
        <f aca="false">IF(EXACT($L283,$I283),"ok","CHECK")</f>
        <v>ok</v>
      </c>
    </row>
    <row r="284" customFormat="false" ht="12" hidden="false" customHeight="true" outlineLevel="0" collapsed="false">
      <c r="B284" s="50" t="s">
        <v>149</v>
      </c>
      <c r="C284" s="50" t="s">
        <v>377</v>
      </c>
      <c r="D284" s="79" t="s">
        <v>114</v>
      </c>
      <c r="E284" s="80" t="n">
        <v>46196</v>
      </c>
      <c r="F284" s="50" t="s">
        <v>599</v>
      </c>
      <c r="G284" s="81" t="s">
        <v>275</v>
      </c>
      <c r="H284" s="82" t="n">
        <v>762.57</v>
      </c>
      <c r="I284" s="37" t="s">
        <v>226</v>
      </c>
      <c r="J284" s="37" t="s">
        <v>77</v>
      </c>
      <c r="K284" s="37" t="str">
        <f aca="false">TRIM(IF($B284="UNASSIGNED","NO COST CENTRE ","")&amp;IF(ISNA(MATCH($C284,Mapping!$B$7:$B$36,0)),"UNMAPPED ","")&amp;IF(COUNTIFS($C$4:$C284,$C284,$F$4:$F284,$F284,$H$4:$H284,$H284)&gt;1,"DUPLICATE ","")&amp;IF(AND(NOT(ISNA(MATCH($C284,Mapping!$B$7:$B$36,0))),$H284&lt;-'Control Panel'!$E$16),"CREDIT ","")&amp;IF(AND(NOT(ISNA(MATCH($C284,Mapping!$B$7:$B$36,0))),COUNTIFS(Budget!$B$4:$B$107,$B284,Budget!$C$4:$C$107,$D284)=0),"NO BUDGET ",""))</f>
        <v/>
      </c>
      <c r="L284" s="83" t="str">
        <f aca="false">IF($K284="","OK",$K284)</f>
        <v>OK</v>
      </c>
      <c r="M284" s="47" t="str">
        <f aca="false">IF(EXACT($L284,$I284),"ok","CHECK")</f>
        <v>ok</v>
      </c>
    </row>
    <row r="285" customFormat="false" ht="12" hidden="false" customHeight="true" outlineLevel="0" collapsed="false">
      <c r="B285" s="50" t="s">
        <v>149</v>
      </c>
      <c r="C285" s="50" t="s">
        <v>241</v>
      </c>
      <c r="D285" s="79" t="s">
        <v>111</v>
      </c>
      <c r="E285" s="80" t="n">
        <v>46199</v>
      </c>
      <c r="F285" s="50" t="s">
        <v>600</v>
      </c>
      <c r="G285" s="81" t="s">
        <v>246</v>
      </c>
      <c r="H285" s="82" t="n">
        <v>883.41</v>
      </c>
      <c r="I285" s="37" t="s">
        <v>226</v>
      </c>
      <c r="J285" s="37" t="s">
        <v>77</v>
      </c>
      <c r="K285" s="37" t="str">
        <f aca="false">TRIM(IF($B285="UNASSIGNED","NO COST CENTRE ","")&amp;IF(ISNA(MATCH($C285,Mapping!$B$7:$B$36,0)),"UNMAPPED ","")&amp;IF(COUNTIFS($C$4:$C285,$C285,$F$4:$F285,$F285,$H$4:$H285,$H285)&gt;1,"DUPLICATE ","")&amp;IF(AND(NOT(ISNA(MATCH($C285,Mapping!$B$7:$B$36,0))),$H285&lt;-'Control Panel'!$E$16),"CREDIT ","")&amp;IF(AND(NOT(ISNA(MATCH($C285,Mapping!$B$7:$B$36,0))),COUNTIFS(Budget!$B$4:$B$107,$B285,Budget!$C$4:$C$107,$D285)=0),"NO BUDGET ",""))</f>
        <v/>
      </c>
      <c r="L285" s="83" t="str">
        <f aca="false">IF($K285="","OK",$K285)</f>
        <v>OK</v>
      </c>
      <c r="M285" s="47" t="str">
        <f aca="false">IF(EXACT($L285,$I285),"ok","CHECK")</f>
        <v>ok</v>
      </c>
    </row>
    <row r="286" customFormat="false" ht="12" hidden="false" customHeight="true" outlineLevel="0" collapsed="false">
      <c r="B286" s="50" t="s">
        <v>149</v>
      </c>
      <c r="C286" s="50" t="s">
        <v>266</v>
      </c>
      <c r="D286" s="79" t="s">
        <v>109</v>
      </c>
      <c r="E286" s="80" t="n">
        <v>46199</v>
      </c>
      <c r="F286" s="50" t="s">
        <v>601</v>
      </c>
      <c r="G286" s="81" t="s">
        <v>446</v>
      </c>
      <c r="H286" s="82" t="n">
        <v>1934.91</v>
      </c>
      <c r="I286" s="37" t="s">
        <v>226</v>
      </c>
      <c r="J286" s="37" t="s">
        <v>77</v>
      </c>
      <c r="K286" s="37" t="str">
        <f aca="false">TRIM(IF($B286="UNASSIGNED","NO COST CENTRE ","")&amp;IF(ISNA(MATCH($C286,Mapping!$B$7:$B$36,0)),"UNMAPPED ","")&amp;IF(COUNTIFS($C$4:$C286,$C286,$F$4:$F286,$F286,$H$4:$H286,$H286)&gt;1,"DUPLICATE ","")&amp;IF(AND(NOT(ISNA(MATCH($C286,Mapping!$B$7:$B$36,0))),$H286&lt;-'Control Panel'!$E$16),"CREDIT ","")&amp;IF(AND(NOT(ISNA(MATCH($C286,Mapping!$B$7:$B$36,0))),COUNTIFS(Budget!$B$4:$B$107,$B286,Budget!$C$4:$C$107,$D286)=0),"NO BUDGET ",""))</f>
        <v/>
      </c>
      <c r="L286" s="83" t="str">
        <f aca="false">IF($K286="","OK",$K286)</f>
        <v>OK</v>
      </c>
      <c r="M286" s="47" t="str">
        <f aca="false">IF(EXACT($L286,$I286),"ok","CHECK")</f>
        <v>ok</v>
      </c>
    </row>
    <row r="287" customFormat="false" ht="12" hidden="false" customHeight="true" outlineLevel="0" collapsed="false">
      <c r="B287" s="50" t="s">
        <v>149</v>
      </c>
      <c r="C287" s="50" t="s">
        <v>235</v>
      </c>
      <c r="D287" s="79" t="s">
        <v>122</v>
      </c>
      <c r="E287" s="80" t="n">
        <v>46200</v>
      </c>
      <c r="F287" s="50" t="s">
        <v>602</v>
      </c>
      <c r="G287" s="81" t="s">
        <v>237</v>
      </c>
      <c r="H287" s="82" t="n">
        <v>2593.17</v>
      </c>
      <c r="I287" s="37" t="s">
        <v>226</v>
      </c>
      <c r="J287" s="37" t="s">
        <v>77</v>
      </c>
      <c r="K287" s="37" t="str">
        <f aca="false">TRIM(IF($B287="UNASSIGNED","NO COST CENTRE ","")&amp;IF(ISNA(MATCH($C287,Mapping!$B$7:$B$36,0)),"UNMAPPED ","")&amp;IF(COUNTIFS($C$4:$C287,$C287,$F$4:$F287,$F287,$H$4:$H287,$H287)&gt;1,"DUPLICATE ","")&amp;IF(AND(NOT(ISNA(MATCH($C287,Mapping!$B$7:$B$36,0))),$H287&lt;-'Control Panel'!$E$16),"CREDIT ","")&amp;IF(AND(NOT(ISNA(MATCH($C287,Mapping!$B$7:$B$36,0))),COUNTIFS(Budget!$B$4:$B$107,$B287,Budget!$C$4:$C$107,$D287)=0),"NO BUDGET ",""))</f>
        <v/>
      </c>
      <c r="L287" s="83" t="str">
        <f aca="false">IF($K287="","OK",$K287)</f>
        <v>OK</v>
      </c>
      <c r="M287" s="47" t="str">
        <f aca="false">IF(EXACT($L287,$I287),"ok","CHECK")</f>
        <v>ok</v>
      </c>
    </row>
    <row r="288" customFormat="false" ht="12" hidden="false" customHeight="true" outlineLevel="0" collapsed="false">
      <c r="B288" s="50" t="s">
        <v>149</v>
      </c>
      <c r="C288" s="50" t="s">
        <v>244</v>
      </c>
      <c r="D288" s="79" t="s">
        <v>111</v>
      </c>
      <c r="E288" s="80" t="n">
        <v>46200</v>
      </c>
      <c r="F288" s="50" t="s">
        <v>603</v>
      </c>
      <c r="G288" s="81" t="s">
        <v>360</v>
      </c>
      <c r="H288" s="82" t="n">
        <v>1627.13</v>
      </c>
      <c r="I288" s="37" t="s">
        <v>226</v>
      </c>
      <c r="J288" s="37" t="s">
        <v>77</v>
      </c>
      <c r="K288" s="37" t="str">
        <f aca="false">TRIM(IF($B288="UNASSIGNED","NO COST CENTRE ","")&amp;IF(ISNA(MATCH($C288,Mapping!$B$7:$B$36,0)),"UNMAPPED ","")&amp;IF(COUNTIFS($C$4:$C288,$C288,$F$4:$F288,$F288,$H$4:$H288,$H288)&gt;1,"DUPLICATE ","")&amp;IF(AND(NOT(ISNA(MATCH($C288,Mapping!$B$7:$B$36,0))),$H288&lt;-'Control Panel'!$E$16),"CREDIT ","")&amp;IF(AND(NOT(ISNA(MATCH($C288,Mapping!$B$7:$B$36,0))),COUNTIFS(Budget!$B$4:$B$107,$B288,Budget!$C$4:$C$107,$D288)=0),"NO BUDGET ",""))</f>
        <v/>
      </c>
      <c r="L288" s="83" t="str">
        <f aca="false">IF($K288="","OK",$K288)</f>
        <v>OK</v>
      </c>
      <c r="M288" s="47" t="str">
        <f aca="false">IF(EXACT($L288,$I288),"ok","CHECK")</f>
        <v>ok</v>
      </c>
    </row>
    <row r="289" customFormat="false" ht="12" hidden="false" customHeight="true" outlineLevel="0" collapsed="false">
      <c r="B289" s="50" t="s">
        <v>149</v>
      </c>
      <c r="C289" s="50" t="s">
        <v>289</v>
      </c>
      <c r="D289" s="79" t="s">
        <v>111</v>
      </c>
      <c r="E289" s="80" t="n">
        <v>46200</v>
      </c>
      <c r="F289" s="50" t="s">
        <v>604</v>
      </c>
      <c r="G289" s="81" t="s">
        <v>342</v>
      </c>
      <c r="H289" s="82" t="n">
        <v>1525.27</v>
      </c>
      <c r="I289" s="37" t="s">
        <v>226</v>
      </c>
      <c r="J289" s="37" t="s">
        <v>77</v>
      </c>
      <c r="K289" s="37" t="str">
        <f aca="false">TRIM(IF($B289="UNASSIGNED","NO COST CENTRE ","")&amp;IF(ISNA(MATCH($C289,Mapping!$B$7:$B$36,0)),"UNMAPPED ","")&amp;IF(COUNTIFS($C$4:$C289,$C289,$F$4:$F289,$F289,$H$4:$H289,$H289)&gt;1,"DUPLICATE ","")&amp;IF(AND(NOT(ISNA(MATCH($C289,Mapping!$B$7:$B$36,0))),$H289&lt;-'Control Panel'!$E$16),"CREDIT ","")&amp;IF(AND(NOT(ISNA(MATCH($C289,Mapping!$B$7:$B$36,0))),COUNTIFS(Budget!$B$4:$B$107,$B289,Budget!$C$4:$C$107,$D289)=0),"NO BUDGET ",""))</f>
        <v/>
      </c>
      <c r="L289" s="83" t="str">
        <f aca="false">IF($K289="","OK",$K289)</f>
        <v>OK</v>
      </c>
      <c r="M289" s="47" t="str">
        <f aca="false">IF(EXACT($L289,$I289),"ok","CHECK")</f>
        <v>ok</v>
      </c>
    </row>
    <row r="290" customFormat="false" ht="12" hidden="false" customHeight="true" outlineLevel="0" collapsed="false">
      <c r="B290" s="50" t="s">
        <v>149</v>
      </c>
      <c r="C290" s="50" t="s">
        <v>227</v>
      </c>
      <c r="D290" s="79" t="s">
        <v>112</v>
      </c>
      <c r="E290" s="80" t="n">
        <v>46202</v>
      </c>
      <c r="F290" s="50" t="s">
        <v>605</v>
      </c>
      <c r="G290" s="81" t="s">
        <v>392</v>
      </c>
      <c r="H290" s="82" t="n">
        <v>3402.31</v>
      </c>
      <c r="I290" s="37" t="s">
        <v>226</v>
      </c>
      <c r="J290" s="37" t="s">
        <v>77</v>
      </c>
      <c r="K290" s="37" t="str">
        <f aca="false">TRIM(IF($B290="UNASSIGNED","NO COST CENTRE ","")&amp;IF(ISNA(MATCH($C290,Mapping!$B$7:$B$36,0)),"UNMAPPED ","")&amp;IF(COUNTIFS($C$4:$C290,$C290,$F$4:$F290,$F290,$H$4:$H290,$H290)&gt;1,"DUPLICATE ","")&amp;IF(AND(NOT(ISNA(MATCH($C290,Mapping!$B$7:$B$36,0))),$H290&lt;-'Control Panel'!$E$16),"CREDIT ","")&amp;IF(AND(NOT(ISNA(MATCH($C290,Mapping!$B$7:$B$36,0))),COUNTIFS(Budget!$B$4:$B$107,$B290,Budget!$C$4:$C$107,$D290)=0),"NO BUDGET ",""))</f>
        <v/>
      </c>
      <c r="L290" s="83" t="str">
        <f aca="false">IF($K290="","OK",$K290)</f>
        <v>OK</v>
      </c>
      <c r="M290" s="47" t="str">
        <f aca="false">IF(EXACT($L290,$I290),"ok","CHECK")</f>
        <v>ok</v>
      </c>
    </row>
    <row r="291" customFormat="false" ht="12" hidden="false" customHeight="true" outlineLevel="0" collapsed="false">
      <c r="B291" s="50" t="s">
        <v>149</v>
      </c>
      <c r="C291" s="50" t="s">
        <v>244</v>
      </c>
      <c r="D291" s="79" t="s">
        <v>111</v>
      </c>
      <c r="E291" s="80" t="n">
        <v>46202</v>
      </c>
      <c r="F291" s="50" t="s">
        <v>606</v>
      </c>
      <c r="G291" s="81" t="s">
        <v>318</v>
      </c>
      <c r="H291" s="82" t="n">
        <v>1038.86</v>
      </c>
      <c r="I291" s="37" t="s">
        <v>226</v>
      </c>
      <c r="J291" s="37" t="s">
        <v>77</v>
      </c>
      <c r="K291" s="37" t="str">
        <f aca="false">TRIM(IF($B291="UNASSIGNED","NO COST CENTRE ","")&amp;IF(ISNA(MATCH($C291,Mapping!$B$7:$B$36,0)),"UNMAPPED ","")&amp;IF(COUNTIFS($C$4:$C291,$C291,$F$4:$F291,$F291,$H$4:$H291,$H291)&gt;1,"DUPLICATE ","")&amp;IF(AND(NOT(ISNA(MATCH($C291,Mapping!$B$7:$B$36,0))),$H291&lt;-'Control Panel'!$E$16),"CREDIT ","")&amp;IF(AND(NOT(ISNA(MATCH($C291,Mapping!$B$7:$B$36,0))),COUNTIFS(Budget!$B$4:$B$107,$B291,Budget!$C$4:$C$107,$D291)=0),"NO BUDGET ",""))</f>
        <v/>
      </c>
      <c r="L291" s="83" t="str">
        <f aca="false">IF($K291="","OK",$K291)</f>
        <v>OK</v>
      </c>
      <c r="M291" s="47" t="str">
        <f aca="false">IF(EXACT($L291,$I291),"ok","CHECK")</f>
        <v>ok</v>
      </c>
    </row>
    <row r="292" customFormat="false" ht="12" hidden="false" customHeight="true" outlineLevel="0" collapsed="false">
      <c r="B292" s="50" t="s">
        <v>149</v>
      </c>
      <c r="C292" s="50" t="s">
        <v>279</v>
      </c>
      <c r="D292" s="79" t="s">
        <v>118</v>
      </c>
      <c r="E292" s="80" t="n">
        <v>46203</v>
      </c>
      <c r="F292" s="50" t="s">
        <v>607</v>
      </c>
      <c r="G292" s="81" t="s">
        <v>526</v>
      </c>
      <c r="H292" s="82" t="n">
        <v>1427.4</v>
      </c>
      <c r="I292" s="37" t="s">
        <v>226</v>
      </c>
      <c r="J292" s="37" t="s">
        <v>77</v>
      </c>
      <c r="K292" s="37" t="str">
        <f aca="false">TRIM(IF($B292="UNASSIGNED","NO COST CENTRE ","")&amp;IF(ISNA(MATCH($C292,Mapping!$B$7:$B$36,0)),"UNMAPPED ","")&amp;IF(COUNTIFS($C$4:$C292,$C292,$F$4:$F292,$F292,$H$4:$H292,$H292)&gt;1,"DUPLICATE ","")&amp;IF(AND(NOT(ISNA(MATCH($C292,Mapping!$B$7:$B$36,0))),$H292&lt;-'Control Panel'!$E$16),"CREDIT ","")&amp;IF(AND(NOT(ISNA(MATCH($C292,Mapping!$B$7:$B$36,0))),COUNTIFS(Budget!$B$4:$B$107,$B292,Budget!$C$4:$C$107,$D292)=0),"NO BUDGET ",""))</f>
        <v/>
      </c>
      <c r="L292" s="83" t="str">
        <f aca="false">IF($K292="","OK",$K292)</f>
        <v>OK</v>
      </c>
      <c r="M292" s="47" t="str">
        <f aca="false">IF(EXACT($L292,$I292),"ok","CHECK")</f>
        <v>ok</v>
      </c>
    </row>
    <row r="293" customFormat="false" ht="12" hidden="false" customHeight="true" outlineLevel="0" collapsed="false">
      <c r="B293" s="50" t="s">
        <v>150</v>
      </c>
      <c r="C293" s="50" t="s">
        <v>230</v>
      </c>
      <c r="D293" s="79" t="s">
        <v>115</v>
      </c>
      <c r="E293" s="80" t="n">
        <v>46174</v>
      </c>
      <c r="F293" s="50" t="s">
        <v>608</v>
      </c>
      <c r="G293" s="81" t="s">
        <v>254</v>
      </c>
      <c r="H293" s="82" t="n">
        <v>3446.4</v>
      </c>
      <c r="I293" s="37" t="s">
        <v>226</v>
      </c>
      <c r="J293" s="37" t="s">
        <v>77</v>
      </c>
      <c r="K293" s="37" t="str">
        <f aca="false">TRIM(IF($B293="UNASSIGNED","NO COST CENTRE ","")&amp;IF(ISNA(MATCH($C293,Mapping!$B$7:$B$36,0)),"UNMAPPED ","")&amp;IF(COUNTIFS($C$4:$C293,$C293,$F$4:$F293,$F293,$H$4:$H293,$H293)&gt;1,"DUPLICATE ","")&amp;IF(AND(NOT(ISNA(MATCH($C293,Mapping!$B$7:$B$36,0))),$H293&lt;-'Control Panel'!$E$16),"CREDIT ","")&amp;IF(AND(NOT(ISNA(MATCH($C293,Mapping!$B$7:$B$36,0))),COUNTIFS(Budget!$B$4:$B$107,$B293,Budget!$C$4:$C$107,$D293)=0),"NO BUDGET ",""))</f>
        <v/>
      </c>
      <c r="L293" s="83" t="str">
        <f aca="false">IF($K293="","OK",$K293)</f>
        <v>OK</v>
      </c>
      <c r="M293" s="47" t="str">
        <f aca="false">IF(EXACT($L293,$I293),"ok","CHECK")</f>
        <v>ok</v>
      </c>
    </row>
    <row r="294" customFormat="false" ht="12" hidden="false" customHeight="true" outlineLevel="0" collapsed="false">
      <c r="B294" s="50" t="s">
        <v>150</v>
      </c>
      <c r="C294" s="50" t="s">
        <v>223</v>
      </c>
      <c r="D294" s="79" t="s">
        <v>113</v>
      </c>
      <c r="E294" s="80" t="n">
        <v>46174</v>
      </c>
      <c r="F294" s="50" t="s">
        <v>609</v>
      </c>
      <c r="G294" s="81" t="s">
        <v>410</v>
      </c>
      <c r="H294" s="82" t="n">
        <v>919.65</v>
      </c>
      <c r="I294" s="37" t="s">
        <v>226</v>
      </c>
      <c r="J294" s="37" t="s">
        <v>77</v>
      </c>
      <c r="K294" s="37" t="str">
        <f aca="false">TRIM(IF($B294="UNASSIGNED","NO COST CENTRE ","")&amp;IF(ISNA(MATCH($C294,Mapping!$B$7:$B$36,0)),"UNMAPPED ","")&amp;IF(COUNTIFS($C$4:$C294,$C294,$F$4:$F294,$F294,$H$4:$H294,$H294)&gt;1,"DUPLICATE ","")&amp;IF(AND(NOT(ISNA(MATCH($C294,Mapping!$B$7:$B$36,0))),$H294&lt;-'Control Panel'!$E$16),"CREDIT ","")&amp;IF(AND(NOT(ISNA(MATCH($C294,Mapping!$B$7:$B$36,0))),COUNTIFS(Budget!$B$4:$B$107,$B294,Budget!$C$4:$C$107,$D294)=0),"NO BUDGET ",""))</f>
        <v/>
      </c>
      <c r="L294" s="83" t="str">
        <f aca="false">IF($K294="","OK",$K294)</f>
        <v>OK</v>
      </c>
      <c r="M294" s="47" t="str">
        <f aca="false">IF(EXACT($L294,$I294),"ok","CHECK")</f>
        <v>ok</v>
      </c>
    </row>
    <row r="295" customFormat="false" ht="12" hidden="false" customHeight="true" outlineLevel="0" collapsed="false">
      <c r="B295" s="50" t="s">
        <v>150</v>
      </c>
      <c r="C295" s="50" t="s">
        <v>230</v>
      </c>
      <c r="D295" s="79" t="s">
        <v>115</v>
      </c>
      <c r="E295" s="80" t="n">
        <v>46175</v>
      </c>
      <c r="F295" s="50" t="s">
        <v>610</v>
      </c>
      <c r="G295" s="81" t="s">
        <v>307</v>
      </c>
      <c r="H295" s="82" t="n">
        <v>3885.29</v>
      </c>
      <c r="I295" s="37" t="s">
        <v>226</v>
      </c>
      <c r="J295" s="37" t="s">
        <v>77</v>
      </c>
      <c r="K295" s="37" t="str">
        <f aca="false">TRIM(IF($B295="UNASSIGNED","NO COST CENTRE ","")&amp;IF(ISNA(MATCH($C295,Mapping!$B$7:$B$36,0)),"UNMAPPED ","")&amp;IF(COUNTIFS($C$4:$C295,$C295,$F$4:$F295,$F295,$H$4:$H295,$H295)&gt;1,"DUPLICATE ","")&amp;IF(AND(NOT(ISNA(MATCH($C295,Mapping!$B$7:$B$36,0))),$H295&lt;-'Control Panel'!$E$16),"CREDIT ","")&amp;IF(AND(NOT(ISNA(MATCH($C295,Mapping!$B$7:$B$36,0))),COUNTIFS(Budget!$B$4:$B$107,$B295,Budget!$C$4:$C$107,$D295)=0),"NO BUDGET ",""))</f>
        <v/>
      </c>
      <c r="L295" s="83" t="str">
        <f aca="false">IF($K295="","OK",$K295)</f>
        <v>OK</v>
      </c>
      <c r="M295" s="47" t="str">
        <f aca="false">IF(EXACT($L295,$I295),"ok","CHECK")</f>
        <v>ok</v>
      </c>
    </row>
    <row r="296" customFormat="false" ht="12" hidden="false" customHeight="true" outlineLevel="0" collapsed="false">
      <c r="B296" s="50" t="s">
        <v>150</v>
      </c>
      <c r="C296" s="50" t="s">
        <v>305</v>
      </c>
      <c r="D296" s="79" t="s">
        <v>115</v>
      </c>
      <c r="E296" s="80" t="n">
        <v>46176</v>
      </c>
      <c r="F296" s="50" t="s">
        <v>611</v>
      </c>
      <c r="G296" s="81" t="s">
        <v>254</v>
      </c>
      <c r="H296" s="82" t="n">
        <v>3796.27</v>
      </c>
      <c r="I296" s="37" t="s">
        <v>226</v>
      </c>
      <c r="J296" s="37" t="s">
        <v>77</v>
      </c>
      <c r="K296" s="37" t="str">
        <f aca="false">TRIM(IF($B296="UNASSIGNED","NO COST CENTRE ","")&amp;IF(ISNA(MATCH($C296,Mapping!$B$7:$B$36,0)),"UNMAPPED ","")&amp;IF(COUNTIFS($C$4:$C296,$C296,$F$4:$F296,$F296,$H$4:$H296,$H296)&gt;1,"DUPLICATE ","")&amp;IF(AND(NOT(ISNA(MATCH($C296,Mapping!$B$7:$B$36,0))),$H296&lt;-'Control Panel'!$E$16),"CREDIT ","")&amp;IF(AND(NOT(ISNA(MATCH($C296,Mapping!$B$7:$B$36,0))),COUNTIFS(Budget!$B$4:$B$107,$B296,Budget!$C$4:$C$107,$D296)=0),"NO BUDGET ",""))</f>
        <v/>
      </c>
      <c r="L296" s="83" t="str">
        <f aca="false">IF($K296="","OK",$K296)</f>
        <v>OK</v>
      </c>
      <c r="M296" s="47" t="str">
        <f aca="false">IF(EXACT($L296,$I296),"ok","CHECK")</f>
        <v>ok</v>
      </c>
    </row>
    <row r="297" customFormat="false" ht="12" hidden="false" customHeight="true" outlineLevel="0" collapsed="false">
      <c r="B297" s="50" t="s">
        <v>150</v>
      </c>
      <c r="C297" s="50" t="s">
        <v>223</v>
      </c>
      <c r="D297" s="79" t="s">
        <v>113</v>
      </c>
      <c r="E297" s="80" t="n">
        <v>46178</v>
      </c>
      <c r="F297" s="50" t="s">
        <v>612</v>
      </c>
      <c r="G297" s="81" t="s">
        <v>405</v>
      </c>
      <c r="H297" s="82" t="n">
        <v>1606.18</v>
      </c>
      <c r="I297" s="37" t="s">
        <v>226</v>
      </c>
      <c r="J297" s="37" t="s">
        <v>77</v>
      </c>
      <c r="K297" s="37" t="str">
        <f aca="false">TRIM(IF($B297="UNASSIGNED","NO COST CENTRE ","")&amp;IF(ISNA(MATCH($C297,Mapping!$B$7:$B$36,0)),"UNMAPPED ","")&amp;IF(COUNTIFS($C$4:$C297,$C297,$F$4:$F297,$F297,$H$4:$H297,$H297)&gt;1,"DUPLICATE ","")&amp;IF(AND(NOT(ISNA(MATCH($C297,Mapping!$B$7:$B$36,0))),$H297&lt;-'Control Panel'!$E$16),"CREDIT ","")&amp;IF(AND(NOT(ISNA(MATCH($C297,Mapping!$B$7:$B$36,0))),COUNTIFS(Budget!$B$4:$B$107,$B297,Budget!$C$4:$C$107,$D297)=0),"NO BUDGET ",""))</f>
        <v/>
      </c>
      <c r="L297" s="83" t="str">
        <f aca="false">IF($K297="","OK",$K297)</f>
        <v>OK</v>
      </c>
      <c r="M297" s="47" t="str">
        <f aca="false">IF(EXACT($L297,$I297),"ok","CHECK")</f>
        <v>ok</v>
      </c>
    </row>
    <row r="298" customFormat="false" ht="12" hidden="false" customHeight="true" outlineLevel="0" collapsed="false">
      <c r="B298" s="50" t="s">
        <v>150</v>
      </c>
      <c r="C298" s="50" t="s">
        <v>305</v>
      </c>
      <c r="D298" s="79" t="s">
        <v>115</v>
      </c>
      <c r="E298" s="80" t="n">
        <v>46178</v>
      </c>
      <c r="F298" s="50" t="s">
        <v>613</v>
      </c>
      <c r="G298" s="81" t="s">
        <v>328</v>
      </c>
      <c r="H298" s="82" t="n">
        <v>3930.34</v>
      </c>
      <c r="I298" s="37" t="s">
        <v>226</v>
      </c>
      <c r="J298" s="37" t="s">
        <v>77</v>
      </c>
      <c r="K298" s="37" t="str">
        <f aca="false">TRIM(IF($B298="UNASSIGNED","NO COST CENTRE ","")&amp;IF(ISNA(MATCH($C298,Mapping!$B$7:$B$36,0)),"UNMAPPED ","")&amp;IF(COUNTIFS($C$4:$C298,$C298,$F$4:$F298,$F298,$H$4:$H298,$H298)&gt;1,"DUPLICATE ","")&amp;IF(AND(NOT(ISNA(MATCH($C298,Mapping!$B$7:$B$36,0))),$H298&lt;-'Control Panel'!$E$16),"CREDIT ","")&amp;IF(AND(NOT(ISNA(MATCH($C298,Mapping!$B$7:$B$36,0))),COUNTIFS(Budget!$B$4:$B$107,$B298,Budget!$C$4:$C$107,$D298)=0),"NO BUDGET ",""))</f>
        <v/>
      </c>
      <c r="L298" s="83" t="str">
        <f aca="false">IF($K298="","OK",$K298)</f>
        <v>OK</v>
      </c>
      <c r="M298" s="47" t="str">
        <f aca="false">IF(EXACT($L298,$I298),"ok","CHECK")</f>
        <v>ok</v>
      </c>
    </row>
    <row r="299" customFormat="false" ht="12" hidden="false" customHeight="true" outlineLevel="0" collapsed="false">
      <c r="B299" s="50" t="s">
        <v>150</v>
      </c>
      <c r="C299" s="50" t="s">
        <v>227</v>
      </c>
      <c r="D299" s="79" t="s">
        <v>112</v>
      </c>
      <c r="E299" s="80" t="n">
        <v>46178</v>
      </c>
      <c r="F299" s="50" t="s">
        <v>614</v>
      </c>
      <c r="G299" s="81" t="s">
        <v>392</v>
      </c>
      <c r="H299" s="82" t="n">
        <v>3223.57</v>
      </c>
      <c r="I299" s="37" t="s">
        <v>226</v>
      </c>
      <c r="J299" s="37" t="s">
        <v>77</v>
      </c>
      <c r="K299" s="37" t="str">
        <f aca="false">TRIM(IF($B299="UNASSIGNED","NO COST CENTRE ","")&amp;IF(ISNA(MATCH($C299,Mapping!$B$7:$B$36,0)),"UNMAPPED ","")&amp;IF(COUNTIFS($C$4:$C299,$C299,$F$4:$F299,$F299,$H$4:$H299,$H299)&gt;1,"DUPLICATE ","")&amp;IF(AND(NOT(ISNA(MATCH($C299,Mapping!$B$7:$B$36,0))),$H299&lt;-'Control Panel'!$E$16),"CREDIT ","")&amp;IF(AND(NOT(ISNA(MATCH($C299,Mapping!$B$7:$B$36,0))),COUNTIFS(Budget!$B$4:$B$107,$B299,Budget!$C$4:$C$107,$D299)=0),"NO BUDGET ",""))</f>
        <v/>
      </c>
      <c r="L299" s="83" t="str">
        <f aca="false">IF($K299="","OK",$K299)</f>
        <v>OK</v>
      </c>
      <c r="M299" s="47" t="str">
        <f aca="false">IF(EXACT($L299,$I299),"ok","CHECK")</f>
        <v>ok</v>
      </c>
    </row>
    <row r="300" customFormat="false" ht="12" hidden="false" customHeight="true" outlineLevel="0" collapsed="false">
      <c r="B300" s="50" t="s">
        <v>150</v>
      </c>
      <c r="C300" s="50" t="s">
        <v>235</v>
      </c>
      <c r="D300" s="79" t="s">
        <v>122</v>
      </c>
      <c r="E300" s="80" t="n">
        <v>46179</v>
      </c>
      <c r="F300" s="50" t="s">
        <v>615</v>
      </c>
      <c r="G300" s="81" t="s">
        <v>237</v>
      </c>
      <c r="H300" s="82" t="n">
        <v>1793.26</v>
      </c>
      <c r="I300" s="37" t="s">
        <v>226</v>
      </c>
      <c r="J300" s="37" t="s">
        <v>77</v>
      </c>
      <c r="K300" s="37" t="str">
        <f aca="false">TRIM(IF($B300="UNASSIGNED","NO COST CENTRE ","")&amp;IF(ISNA(MATCH($C300,Mapping!$B$7:$B$36,0)),"UNMAPPED ","")&amp;IF(COUNTIFS($C$4:$C300,$C300,$F$4:$F300,$F300,$H$4:$H300,$H300)&gt;1,"DUPLICATE ","")&amp;IF(AND(NOT(ISNA(MATCH($C300,Mapping!$B$7:$B$36,0))),$H300&lt;-'Control Panel'!$E$16),"CREDIT ","")&amp;IF(AND(NOT(ISNA(MATCH($C300,Mapping!$B$7:$B$36,0))),COUNTIFS(Budget!$B$4:$B$107,$B300,Budget!$C$4:$C$107,$D300)=0),"NO BUDGET ",""))</f>
        <v/>
      </c>
      <c r="L300" s="83" t="str">
        <f aca="false">IF($K300="","OK",$K300)</f>
        <v>OK</v>
      </c>
      <c r="M300" s="47" t="str">
        <f aca="false">IF(EXACT($L300,$I300),"ok","CHECK")</f>
        <v>ok</v>
      </c>
    </row>
    <row r="301" customFormat="false" ht="12" hidden="false" customHeight="true" outlineLevel="0" collapsed="false">
      <c r="B301" s="50" t="s">
        <v>150</v>
      </c>
      <c r="C301" s="50" t="s">
        <v>241</v>
      </c>
      <c r="D301" s="79" t="s">
        <v>111</v>
      </c>
      <c r="E301" s="80" t="n">
        <v>46180</v>
      </c>
      <c r="F301" s="50" t="s">
        <v>616</v>
      </c>
      <c r="G301" s="81" t="s">
        <v>288</v>
      </c>
      <c r="H301" s="82" t="n">
        <v>1269.37</v>
      </c>
      <c r="I301" s="37" t="s">
        <v>226</v>
      </c>
      <c r="J301" s="37" t="s">
        <v>77</v>
      </c>
      <c r="K301" s="37" t="str">
        <f aca="false">TRIM(IF($B301="UNASSIGNED","NO COST CENTRE ","")&amp;IF(ISNA(MATCH($C301,Mapping!$B$7:$B$36,0)),"UNMAPPED ","")&amp;IF(COUNTIFS($C$4:$C301,$C301,$F$4:$F301,$F301,$H$4:$H301,$H301)&gt;1,"DUPLICATE ","")&amp;IF(AND(NOT(ISNA(MATCH($C301,Mapping!$B$7:$B$36,0))),$H301&lt;-'Control Panel'!$E$16),"CREDIT ","")&amp;IF(AND(NOT(ISNA(MATCH($C301,Mapping!$B$7:$B$36,0))),COUNTIFS(Budget!$B$4:$B$107,$B301,Budget!$C$4:$C$107,$D301)=0),"NO BUDGET ",""))</f>
        <v/>
      </c>
      <c r="L301" s="83" t="str">
        <f aca="false">IF($K301="","OK",$K301)</f>
        <v>OK</v>
      </c>
      <c r="M301" s="47" t="str">
        <f aca="false">IF(EXACT($L301,$I301),"ok","CHECK")</f>
        <v>ok</v>
      </c>
    </row>
    <row r="302" customFormat="false" ht="12" hidden="false" customHeight="true" outlineLevel="0" collapsed="false">
      <c r="B302" s="50" t="s">
        <v>150</v>
      </c>
      <c r="C302" s="50" t="s">
        <v>305</v>
      </c>
      <c r="D302" s="79" t="s">
        <v>115</v>
      </c>
      <c r="E302" s="80" t="n">
        <v>46180</v>
      </c>
      <c r="F302" s="50" t="s">
        <v>617</v>
      </c>
      <c r="G302" s="81" t="s">
        <v>324</v>
      </c>
      <c r="H302" s="82" t="n">
        <v>3304.32</v>
      </c>
      <c r="I302" s="37" t="s">
        <v>226</v>
      </c>
      <c r="J302" s="37" t="s">
        <v>77</v>
      </c>
      <c r="K302" s="37" t="str">
        <f aca="false">TRIM(IF($B302="UNASSIGNED","NO COST CENTRE ","")&amp;IF(ISNA(MATCH($C302,Mapping!$B$7:$B$36,0)),"UNMAPPED ","")&amp;IF(COUNTIFS($C$4:$C302,$C302,$F$4:$F302,$F302,$H$4:$H302,$H302)&gt;1,"DUPLICATE ","")&amp;IF(AND(NOT(ISNA(MATCH($C302,Mapping!$B$7:$B$36,0))),$H302&lt;-'Control Panel'!$E$16),"CREDIT ","")&amp;IF(AND(NOT(ISNA(MATCH($C302,Mapping!$B$7:$B$36,0))),COUNTIFS(Budget!$B$4:$B$107,$B302,Budget!$C$4:$C$107,$D302)=0),"NO BUDGET ",""))</f>
        <v/>
      </c>
      <c r="L302" s="83" t="str">
        <f aca="false">IF($K302="","OK",$K302)</f>
        <v>OK</v>
      </c>
      <c r="M302" s="47" t="str">
        <f aca="false">IF(EXACT($L302,$I302),"ok","CHECK")</f>
        <v>ok</v>
      </c>
    </row>
    <row r="303" customFormat="false" ht="12" hidden="false" customHeight="true" outlineLevel="0" collapsed="false">
      <c r="B303" s="50" t="s">
        <v>150</v>
      </c>
      <c r="C303" s="50" t="s">
        <v>230</v>
      </c>
      <c r="D303" s="79" t="s">
        <v>115</v>
      </c>
      <c r="E303" s="80" t="n">
        <v>46181</v>
      </c>
      <c r="F303" s="50" t="s">
        <v>618</v>
      </c>
      <c r="G303" s="81" t="s">
        <v>252</v>
      </c>
      <c r="H303" s="82" t="n">
        <v>1665.85</v>
      </c>
      <c r="I303" s="37" t="s">
        <v>226</v>
      </c>
      <c r="J303" s="37" t="s">
        <v>77</v>
      </c>
      <c r="K303" s="37" t="str">
        <f aca="false">TRIM(IF($B303="UNASSIGNED","NO COST CENTRE ","")&amp;IF(ISNA(MATCH($C303,Mapping!$B$7:$B$36,0)),"UNMAPPED ","")&amp;IF(COUNTIFS($C$4:$C303,$C303,$F$4:$F303,$F303,$H$4:$H303,$H303)&gt;1,"DUPLICATE ","")&amp;IF(AND(NOT(ISNA(MATCH($C303,Mapping!$B$7:$B$36,0))),$H303&lt;-'Control Panel'!$E$16),"CREDIT ","")&amp;IF(AND(NOT(ISNA(MATCH($C303,Mapping!$B$7:$B$36,0))),COUNTIFS(Budget!$B$4:$B$107,$B303,Budget!$C$4:$C$107,$D303)=0),"NO BUDGET ",""))</f>
        <v/>
      </c>
      <c r="L303" s="83" t="str">
        <f aca="false">IF($K303="","OK",$K303)</f>
        <v>OK</v>
      </c>
      <c r="M303" s="47" t="str">
        <f aca="false">IF(EXACT($L303,$I303),"ok","CHECK")</f>
        <v>ok</v>
      </c>
    </row>
    <row r="304" customFormat="false" ht="12" hidden="false" customHeight="true" outlineLevel="0" collapsed="false">
      <c r="B304" s="50" t="s">
        <v>150</v>
      </c>
      <c r="C304" s="50" t="s">
        <v>273</v>
      </c>
      <c r="D304" s="79" t="s">
        <v>114</v>
      </c>
      <c r="E304" s="80" t="n">
        <v>46181</v>
      </c>
      <c r="F304" s="50" t="s">
        <v>619</v>
      </c>
      <c r="G304" s="81" t="s">
        <v>620</v>
      </c>
      <c r="H304" s="82" t="n">
        <v>873.78</v>
      </c>
      <c r="I304" s="37" t="s">
        <v>226</v>
      </c>
      <c r="J304" s="37" t="s">
        <v>77</v>
      </c>
      <c r="K304" s="37" t="str">
        <f aca="false">TRIM(IF($B304="UNASSIGNED","NO COST CENTRE ","")&amp;IF(ISNA(MATCH($C304,Mapping!$B$7:$B$36,0)),"UNMAPPED ","")&amp;IF(COUNTIFS($C$4:$C304,$C304,$F$4:$F304,$F304,$H$4:$H304,$H304)&gt;1,"DUPLICATE ","")&amp;IF(AND(NOT(ISNA(MATCH($C304,Mapping!$B$7:$B$36,0))),$H304&lt;-'Control Panel'!$E$16),"CREDIT ","")&amp;IF(AND(NOT(ISNA(MATCH($C304,Mapping!$B$7:$B$36,0))),COUNTIFS(Budget!$B$4:$B$107,$B304,Budget!$C$4:$C$107,$D304)=0),"NO BUDGET ",""))</f>
        <v/>
      </c>
      <c r="L304" s="83" t="str">
        <f aca="false">IF($K304="","OK",$K304)</f>
        <v>OK</v>
      </c>
      <c r="M304" s="47" t="str">
        <f aca="false">IF(EXACT($L304,$I304),"ok","CHECK")</f>
        <v>ok</v>
      </c>
    </row>
    <row r="305" customFormat="false" ht="12" hidden="false" customHeight="true" outlineLevel="0" collapsed="false">
      <c r="B305" s="50" t="s">
        <v>150</v>
      </c>
      <c r="C305" s="50" t="s">
        <v>241</v>
      </c>
      <c r="D305" s="79" t="s">
        <v>111</v>
      </c>
      <c r="E305" s="80" t="n">
        <v>46181</v>
      </c>
      <c r="F305" s="50" t="s">
        <v>621</v>
      </c>
      <c r="G305" s="81" t="s">
        <v>288</v>
      </c>
      <c r="H305" s="82" t="n">
        <v>727.07</v>
      </c>
      <c r="I305" s="37" t="s">
        <v>226</v>
      </c>
      <c r="J305" s="37" t="s">
        <v>77</v>
      </c>
      <c r="K305" s="37" t="str">
        <f aca="false">TRIM(IF($B305="UNASSIGNED","NO COST CENTRE ","")&amp;IF(ISNA(MATCH($C305,Mapping!$B$7:$B$36,0)),"UNMAPPED ","")&amp;IF(COUNTIFS($C$4:$C305,$C305,$F$4:$F305,$F305,$H$4:$H305,$H305)&gt;1,"DUPLICATE ","")&amp;IF(AND(NOT(ISNA(MATCH($C305,Mapping!$B$7:$B$36,0))),$H305&lt;-'Control Panel'!$E$16),"CREDIT ","")&amp;IF(AND(NOT(ISNA(MATCH($C305,Mapping!$B$7:$B$36,0))),COUNTIFS(Budget!$B$4:$B$107,$B305,Budget!$C$4:$C$107,$D305)=0),"NO BUDGET ",""))</f>
        <v/>
      </c>
      <c r="L305" s="83" t="str">
        <f aca="false">IF($K305="","OK",$K305)</f>
        <v>OK</v>
      </c>
      <c r="M305" s="47" t="str">
        <f aca="false">IF(EXACT($L305,$I305),"ok","CHECK")</f>
        <v>ok</v>
      </c>
    </row>
    <row r="306" customFormat="false" ht="12" hidden="false" customHeight="true" outlineLevel="0" collapsed="false">
      <c r="B306" s="50" t="s">
        <v>150</v>
      </c>
      <c r="C306" s="50" t="s">
        <v>227</v>
      </c>
      <c r="D306" s="79" t="s">
        <v>112</v>
      </c>
      <c r="E306" s="80" t="n">
        <v>46182</v>
      </c>
      <c r="F306" s="50" t="s">
        <v>622</v>
      </c>
      <c r="G306" s="81" t="s">
        <v>284</v>
      </c>
      <c r="H306" s="82" t="n">
        <v>3471.37</v>
      </c>
      <c r="I306" s="37" t="s">
        <v>226</v>
      </c>
      <c r="J306" s="37" t="s">
        <v>77</v>
      </c>
      <c r="K306" s="37" t="str">
        <f aca="false">TRIM(IF($B306="UNASSIGNED","NO COST CENTRE ","")&amp;IF(ISNA(MATCH($C306,Mapping!$B$7:$B$36,0)),"UNMAPPED ","")&amp;IF(COUNTIFS($C$4:$C306,$C306,$F$4:$F306,$F306,$H$4:$H306,$H306)&gt;1,"DUPLICATE ","")&amp;IF(AND(NOT(ISNA(MATCH($C306,Mapping!$B$7:$B$36,0))),$H306&lt;-'Control Panel'!$E$16),"CREDIT ","")&amp;IF(AND(NOT(ISNA(MATCH($C306,Mapping!$B$7:$B$36,0))),COUNTIFS(Budget!$B$4:$B$107,$B306,Budget!$C$4:$C$107,$D306)=0),"NO BUDGET ",""))</f>
        <v/>
      </c>
      <c r="L306" s="83" t="str">
        <f aca="false">IF($K306="","OK",$K306)</f>
        <v>OK</v>
      </c>
      <c r="M306" s="47" t="str">
        <f aca="false">IF(EXACT($L306,$I306),"ok","CHECK")</f>
        <v>ok</v>
      </c>
    </row>
    <row r="307" customFormat="false" ht="12" hidden="false" customHeight="true" outlineLevel="0" collapsed="false">
      <c r="B307" s="50" t="s">
        <v>150</v>
      </c>
      <c r="C307" s="50" t="s">
        <v>259</v>
      </c>
      <c r="D307" s="79" t="s">
        <v>111</v>
      </c>
      <c r="E307" s="80" t="n">
        <v>46183</v>
      </c>
      <c r="F307" s="50" t="s">
        <v>623</v>
      </c>
      <c r="G307" s="81" t="s">
        <v>291</v>
      </c>
      <c r="H307" s="82" t="n">
        <v>954.14</v>
      </c>
      <c r="I307" s="37" t="s">
        <v>226</v>
      </c>
      <c r="J307" s="37" t="s">
        <v>77</v>
      </c>
      <c r="K307" s="37" t="str">
        <f aca="false">TRIM(IF($B307="UNASSIGNED","NO COST CENTRE ","")&amp;IF(ISNA(MATCH($C307,Mapping!$B$7:$B$36,0)),"UNMAPPED ","")&amp;IF(COUNTIFS($C$4:$C307,$C307,$F$4:$F307,$F307,$H$4:$H307,$H307)&gt;1,"DUPLICATE ","")&amp;IF(AND(NOT(ISNA(MATCH($C307,Mapping!$B$7:$B$36,0))),$H307&lt;-'Control Panel'!$E$16),"CREDIT ","")&amp;IF(AND(NOT(ISNA(MATCH($C307,Mapping!$B$7:$B$36,0))),COUNTIFS(Budget!$B$4:$B$107,$B307,Budget!$C$4:$C$107,$D307)=0),"NO BUDGET ",""))</f>
        <v/>
      </c>
      <c r="L307" s="83" t="str">
        <f aca="false">IF($K307="","OK",$K307)</f>
        <v>OK</v>
      </c>
      <c r="M307" s="47" t="str">
        <f aca="false">IF(EXACT($L307,$I307),"ok","CHECK")</f>
        <v>ok</v>
      </c>
    </row>
    <row r="308" customFormat="false" ht="12" hidden="false" customHeight="true" outlineLevel="0" collapsed="false">
      <c r="B308" s="50" t="s">
        <v>150</v>
      </c>
      <c r="C308" s="50" t="s">
        <v>250</v>
      </c>
      <c r="D308" s="79" t="s">
        <v>115</v>
      </c>
      <c r="E308" s="80" t="n">
        <v>46183</v>
      </c>
      <c r="F308" s="50" t="s">
        <v>624</v>
      </c>
      <c r="G308" s="81" t="s">
        <v>307</v>
      </c>
      <c r="H308" s="82" t="n">
        <v>1677.62</v>
      </c>
      <c r="I308" s="37" t="s">
        <v>226</v>
      </c>
      <c r="J308" s="37" t="s">
        <v>77</v>
      </c>
      <c r="K308" s="37" t="str">
        <f aca="false">TRIM(IF($B308="UNASSIGNED","NO COST CENTRE ","")&amp;IF(ISNA(MATCH($C308,Mapping!$B$7:$B$36,0)),"UNMAPPED ","")&amp;IF(COUNTIFS($C$4:$C308,$C308,$F$4:$F308,$F308,$H$4:$H308,$H308)&gt;1,"DUPLICATE ","")&amp;IF(AND(NOT(ISNA(MATCH($C308,Mapping!$B$7:$B$36,0))),$H308&lt;-'Control Panel'!$E$16),"CREDIT ","")&amp;IF(AND(NOT(ISNA(MATCH($C308,Mapping!$B$7:$B$36,0))),COUNTIFS(Budget!$B$4:$B$107,$B308,Budget!$C$4:$C$107,$D308)=0),"NO BUDGET ",""))</f>
        <v/>
      </c>
      <c r="L308" s="83" t="str">
        <f aca="false">IF($K308="","OK",$K308)</f>
        <v>OK</v>
      </c>
      <c r="M308" s="47" t="str">
        <f aca="false">IF(EXACT($L308,$I308),"ok","CHECK")</f>
        <v>ok</v>
      </c>
    </row>
    <row r="309" customFormat="false" ht="12" hidden="false" customHeight="true" outlineLevel="0" collapsed="false">
      <c r="B309" s="50" t="s">
        <v>150</v>
      </c>
      <c r="C309" s="50" t="s">
        <v>250</v>
      </c>
      <c r="D309" s="79" t="s">
        <v>115</v>
      </c>
      <c r="E309" s="80" t="n">
        <v>46184</v>
      </c>
      <c r="F309" s="50" t="s">
        <v>625</v>
      </c>
      <c r="G309" s="81" t="s">
        <v>403</v>
      </c>
      <c r="H309" s="82" t="n">
        <v>2014.11</v>
      </c>
      <c r="I309" s="37" t="s">
        <v>226</v>
      </c>
      <c r="J309" s="37" t="s">
        <v>77</v>
      </c>
      <c r="K309" s="37" t="str">
        <f aca="false">TRIM(IF($B309="UNASSIGNED","NO COST CENTRE ","")&amp;IF(ISNA(MATCH($C309,Mapping!$B$7:$B$36,0)),"UNMAPPED ","")&amp;IF(COUNTIFS($C$4:$C309,$C309,$F$4:$F309,$F309,$H$4:$H309,$H309)&gt;1,"DUPLICATE ","")&amp;IF(AND(NOT(ISNA(MATCH($C309,Mapping!$B$7:$B$36,0))),$H309&lt;-'Control Panel'!$E$16),"CREDIT ","")&amp;IF(AND(NOT(ISNA(MATCH($C309,Mapping!$B$7:$B$36,0))),COUNTIFS(Budget!$B$4:$B$107,$B309,Budget!$C$4:$C$107,$D309)=0),"NO BUDGET ",""))</f>
        <v/>
      </c>
      <c r="L309" s="83" t="str">
        <f aca="false">IF($K309="","OK",$K309)</f>
        <v>OK</v>
      </c>
      <c r="M309" s="47" t="str">
        <f aca="false">IF(EXACT($L309,$I309),"ok","CHECK")</f>
        <v>ok</v>
      </c>
    </row>
    <row r="310" customFormat="false" ht="12" hidden="false" customHeight="true" outlineLevel="0" collapsed="false">
      <c r="B310" s="50" t="s">
        <v>150</v>
      </c>
      <c r="C310" s="50" t="s">
        <v>250</v>
      </c>
      <c r="D310" s="79" t="s">
        <v>115</v>
      </c>
      <c r="E310" s="80" t="n">
        <v>46184</v>
      </c>
      <c r="F310" s="50" t="s">
        <v>626</v>
      </c>
      <c r="G310" s="81" t="s">
        <v>440</v>
      </c>
      <c r="H310" s="82" t="n">
        <v>3354.6</v>
      </c>
      <c r="I310" s="37" t="s">
        <v>226</v>
      </c>
      <c r="J310" s="37" t="s">
        <v>77</v>
      </c>
      <c r="K310" s="37" t="str">
        <f aca="false">TRIM(IF($B310="UNASSIGNED","NO COST CENTRE ","")&amp;IF(ISNA(MATCH($C310,Mapping!$B$7:$B$36,0)),"UNMAPPED ","")&amp;IF(COUNTIFS($C$4:$C310,$C310,$F$4:$F310,$F310,$H$4:$H310,$H310)&gt;1,"DUPLICATE ","")&amp;IF(AND(NOT(ISNA(MATCH($C310,Mapping!$B$7:$B$36,0))),$H310&lt;-'Control Panel'!$E$16),"CREDIT ","")&amp;IF(AND(NOT(ISNA(MATCH($C310,Mapping!$B$7:$B$36,0))),COUNTIFS(Budget!$B$4:$B$107,$B310,Budget!$C$4:$C$107,$D310)=0),"NO BUDGET ",""))</f>
        <v/>
      </c>
      <c r="L310" s="83" t="str">
        <f aca="false">IF($K310="","OK",$K310)</f>
        <v>OK</v>
      </c>
      <c r="M310" s="47" t="str">
        <f aca="false">IF(EXACT($L310,$I310),"ok","CHECK")</f>
        <v>ok</v>
      </c>
    </row>
    <row r="311" customFormat="false" ht="12" hidden="false" customHeight="true" outlineLevel="0" collapsed="false">
      <c r="B311" s="50" t="s">
        <v>150</v>
      </c>
      <c r="C311" s="50" t="s">
        <v>301</v>
      </c>
      <c r="D311" s="79" t="s">
        <v>122</v>
      </c>
      <c r="E311" s="80" t="n">
        <v>46184</v>
      </c>
      <c r="F311" s="50" t="s">
        <v>627</v>
      </c>
      <c r="G311" s="81" t="s">
        <v>237</v>
      </c>
      <c r="H311" s="82" t="n">
        <v>1434.94</v>
      </c>
      <c r="I311" s="37" t="s">
        <v>226</v>
      </c>
      <c r="J311" s="37" t="s">
        <v>77</v>
      </c>
      <c r="K311" s="37" t="str">
        <f aca="false">TRIM(IF($B311="UNASSIGNED","NO COST CENTRE ","")&amp;IF(ISNA(MATCH($C311,Mapping!$B$7:$B$36,0)),"UNMAPPED ","")&amp;IF(COUNTIFS($C$4:$C311,$C311,$F$4:$F311,$F311,$H$4:$H311,$H311)&gt;1,"DUPLICATE ","")&amp;IF(AND(NOT(ISNA(MATCH($C311,Mapping!$B$7:$B$36,0))),$H311&lt;-'Control Panel'!$E$16),"CREDIT ","")&amp;IF(AND(NOT(ISNA(MATCH($C311,Mapping!$B$7:$B$36,0))),COUNTIFS(Budget!$B$4:$B$107,$B311,Budget!$C$4:$C$107,$D311)=0),"NO BUDGET ",""))</f>
        <v/>
      </c>
      <c r="L311" s="83" t="str">
        <f aca="false">IF($K311="","OK",$K311)</f>
        <v>OK</v>
      </c>
      <c r="M311" s="47" t="str">
        <f aca="false">IF(EXACT($L311,$I311),"ok","CHECK")</f>
        <v>ok</v>
      </c>
    </row>
    <row r="312" customFormat="false" ht="12" hidden="false" customHeight="true" outlineLevel="0" collapsed="false">
      <c r="B312" s="50" t="s">
        <v>150</v>
      </c>
      <c r="C312" s="50" t="s">
        <v>305</v>
      </c>
      <c r="D312" s="79" t="s">
        <v>115</v>
      </c>
      <c r="E312" s="80" t="n">
        <v>46185</v>
      </c>
      <c r="F312" s="50" t="s">
        <v>628</v>
      </c>
      <c r="G312" s="81" t="s">
        <v>307</v>
      </c>
      <c r="H312" s="82" t="n">
        <v>2235.14</v>
      </c>
      <c r="I312" s="37" t="s">
        <v>226</v>
      </c>
      <c r="J312" s="37" t="s">
        <v>77</v>
      </c>
      <c r="K312" s="37" t="str">
        <f aca="false">TRIM(IF($B312="UNASSIGNED","NO COST CENTRE ","")&amp;IF(ISNA(MATCH($C312,Mapping!$B$7:$B$36,0)),"UNMAPPED ","")&amp;IF(COUNTIFS($C$4:$C312,$C312,$F$4:$F312,$F312,$H$4:$H312,$H312)&gt;1,"DUPLICATE ","")&amp;IF(AND(NOT(ISNA(MATCH($C312,Mapping!$B$7:$B$36,0))),$H312&lt;-'Control Panel'!$E$16),"CREDIT ","")&amp;IF(AND(NOT(ISNA(MATCH($C312,Mapping!$B$7:$B$36,0))),COUNTIFS(Budget!$B$4:$B$107,$B312,Budget!$C$4:$C$107,$D312)=0),"NO BUDGET ",""))</f>
        <v/>
      </c>
      <c r="L312" s="83" t="str">
        <f aca="false">IF($K312="","OK",$K312)</f>
        <v>OK</v>
      </c>
      <c r="M312" s="47" t="str">
        <f aca="false">IF(EXACT($L312,$I312),"ok","CHECK")</f>
        <v>ok</v>
      </c>
    </row>
    <row r="313" customFormat="false" ht="12" hidden="false" customHeight="true" outlineLevel="0" collapsed="false">
      <c r="B313" s="50" t="s">
        <v>150</v>
      </c>
      <c r="C313" s="50" t="s">
        <v>230</v>
      </c>
      <c r="D313" s="79" t="s">
        <v>115</v>
      </c>
      <c r="E313" s="80" t="n">
        <v>46185</v>
      </c>
      <c r="F313" s="50" t="s">
        <v>629</v>
      </c>
      <c r="G313" s="81" t="s">
        <v>328</v>
      </c>
      <c r="H313" s="82" t="n">
        <v>3658.19</v>
      </c>
      <c r="I313" s="37" t="s">
        <v>226</v>
      </c>
      <c r="J313" s="37" t="s">
        <v>77</v>
      </c>
      <c r="K313" s="37" t="str">
        <f aca="false">TRIM(IF($B313="UNASSIGNED","NO COST CENTRE ","")&amp;IF(ISNA(MATCH($C313,Mapping!$B$7:$B$36,0)),"UNMAPPED ","")&amp;IF(COUNTIFS($C$4:$C313,$C313,$F$4:$F313,$F313,$H$4:$H313,$H313)&gt;1,"DUPLICATE ","")&amp;IF(AND(NOT(ISNA(MATCH($C313,Mapping!$B$7:$B$36,0))),$H313&lt;-'Control Panel'!$E$16),"CREDIT ","")&amp;IF(AND(NOT(ISNA(MATCH($C313,Mapping!$B$7:$B$36,0))),COUNTIFS(Budget!$B$4:$B$107,$B313,Budget!$C$4:$C$107,$D313)=0),"NO BUDGET ",""))</f>
        <v/>
      </c>
      <c r="L313" s="83" t="str">
        <f aca="false">IF($K313="","OK",$K313)</f>
        <v>OK</v>
      </c>
      <c r="M313" s="47" t="str">
        <f aca="false">IF(EXACT($L313,$I313),"ok","CHECK")</f>
        <v>ok</v>
      </c>
    </row>
    <row r="314" customFormat="false" ht="12" hidden="false" customHeight="true" outlineLevel="0" collapsed="false">
      <c r="B314" s="50" t="s">
        <v>150</v>
      </c>
      <c r="C314" s="50" t="s">
        <v>244</v>
      </c>
      <c r="D314" s="79" t="s">
        <v>111</v>
      </c>
      <c r="E314" s="80" t="n">
        <v>46187</v>
      </c>
      <c r="F314" s="50" t="s">
        <v>630</v>
      </c>
      <c r="G314" s="81" t="s">
        <v>342</v>
      </c>
      <c r="H314" s="82" t="n">
        <v>1598.13</v>
      </c>
      <c r="I314" s="37" t="s">
        <v>226</v>
      </c>
      <c r="J314" s="37" t="s">
        <v>77</v>
      </c>
      <c r="K314" s="37" t="str">
        <f aca="false">TRIM(IF($B314="UNASSIGNED","NO COST CENTRE ","")&amp;IF(ISNA(MATCH($C314,Mapping!$B$7:$B$36,0)),"UNMAPPED ","")&amp;IF(COUNTIFS($C$4:$C314,$C314,$F$4:$F314,$F314,$H$4:$H314,$H314)&gt;1,"DUPLICATE ","")&amp;IF(AND(NOT(ISNA(MATCH($C314,Mapping!$B$7:$B$36,0))),$H314&lt;-'Control Panel'!$E$16),"CREDIT ","")&amp;IF(AND(NOT(ISNA(MATCH($C314,Mapping!$B$7:$B$36,0))),COUNTIFS(Budget!$B$4:$B$107,$B314,Budget!$C$4:$C$107,$D314)=0),"NO BUDGET ",""))</f>
        <v/>
      </c>
      <c r="L314" s="83" t="str">
        <f aca="false">IF($K314="","OK",$K314)</f>
        <v>OK</v>
      </c>
      <c r="M314" s="47" t="str">
        <f aca="false">IF(EXACT($L314,$I314),"ok","CHECK")</f>
        <v>ok</v>
      </c>
    </row>
    <row r="315" customFormat="false" ht="12" hidden="false" customHeight="true" outlineLevel="0" collapsed="false">
      <c r="B315" s="50" t="s">
        <v>150</v>
      </c>
      <c r="C315" s="50" t="s">
        <v>259</v>
      </c>
      <c r="D315" s="79" t="s">
        <v>111</v>
      </c>
      <c r="E315" s="80" t="n">
        <v>46187</v>
      </c>
      <c r="F315" s="50" t="s">
        <v>631</v>
      </c>
      <c r="G315" s="81" t="s">
        <v>342</v>
      </c>
      <c r="H315" s="82" t="n">
        <v>1788.35</v>
      </c>
      <c r="I315" s="37" t="s">
        <v>226</v>
      </c>
      <c r="J315" s="37" t="s">
        <v>77</v>
      </c>
      <c r="K315" s="37" t="str">
        <f aca="false">TRIM(IF($B315="UNASSIGNED","NO COST CENTRE ","")&amp;IF(ISNA(MATCH($C315,Mapping!$B$7:$B$36,0)),"UNMAPPED ","")&amp;IF(COUNTIFS($C$4:$C315,$C315,$F$4:$F315,$F315,$H$4:$H315,$H315)&gt;1,"DUPLICATE ","")&amp;IF(AND(NOT(ISNA(MATCH($C315,Mapping!$B$7:$B$36,0))),$H315&lt;-'Control Panel'!$E$16),"CREDIT ","")&amp;IF(AND(NOT(ISNA(MATCH($C315,Mapping!$B$7:$B$36,0))),COUNTIFS(Budget!$B$4:$B$107,$B315,Budget!$C$4:$C$107,$D315)=0),"NO BUDGET ",""))</f>
        <v/>
      </c>
      <c r="L315" s="83" t="str">
        <f aca="false">IF($K315="","OK",$K315)</f>
        <v>OK</v>
      </c>
      <c r="M315" s="47" t="str">
        <f aca="false">IF(EXACT($L315,$I315),"ok","CHECK")</f>
        <v>ok</v>
      </c>
    </row>
    <row r="316" customFormat="false" ht="12" hidden="false" customHeight="true" outlineLevel="0" collapsed="false">
      <c r="B316" s="50" t="s">
        <v>150</v>
      </c>
      <c r="C316" s="50" t="s">
        <v>244</v>
      </c>
      <c r="D316" s="79" t="s">
        <v>111</v>
      </c>
      <c r="E316" s="80" t="n">
        <v>46188</v>
      </c>
      <c r="F316" s="50" t="s">
        <v>632</v>
      </c>
      <c r="G316" s="81" t="s">
        <v>246</v>
      </c>
      <c r="H316" s="82" t="n">
        <v>1586.94</v>
      </c>
      <c r="I316" s="37" t="s">
        <v>226</v>
      </c>
      <c r="J316" s="37" t="s">
        <v>77</v>
      </c>
      <c r="K316" s="37" t="str">
        <f aca="false">TRIM(IF($B316="UNASSIGNED","NO COST CENTRE ","")&amp;IF(ISNA(MATCH($C316,Mapping!$B$7:$B$36,0)),"UNMAPPED ","")&amp;IF(COUNTIFS($C$4:$C316,$C316,$F$4:$F316,$F316,$H$4:$H316,$H316)&gt;1,"DUPLICATE ","")&amp;IF(AND(NOT(ISNA(MATCH($C316,Mapping!$B$7:$B$36,0))),$H316&lt;-'Control Panel'!$E$16),"CREDIT ","")&amp;IF(AND(NOT(ISNA(MATCH($C316,Mapping!$B$7:$B$36,0))),COUNTIFS(Budget!$B$4:$B$107,$B316,Budget!$C$4:$C$107,$D316)=0),"NO BUDGET ",""))</f>
        <v/>
      </c>
      <c r="L316" s="83" t="str">
        <f aca="false">IF($K316="","OK",$K316)</f>
        <v>OK</v>
      </c>
      <c r="M316" s="47" t="str">
        <f aca="false">IF(EXACT($L316,$I316),"ok","CHECK")</f>
        <v>ok</v>
      </c>
    </row>
    <row r="317" customFormat="false" ht="12" hidden="false" customHeight="true" outlineLevel="0" collapsed="false">
      <c r="B317" s="50" t="s">
        <v>150</v>
      </c>
      <c r="C317" s="50" t="s">
        <v>305</v>
      </c>
      <c r="D317" s="79" t="s">
        <v>115</v>
      </c>
      <c r="E317" s="80" t="n">
        <v>46189</v>
      </c>
      <c r="F317" s="50" t="s">
        <v>633</v>
      </c>
      <c r="G317" s="81" t="s">
        <v>307</v>
      </c>
      <c r="H317" s="82" t="n">
        <v>3611.56</v>
      </c>
      <c r="I317" s="37" t="s">
        <v>226</v>
      </c>
      <c r="J317" s="37" t="s">
        <v>77</v>
      </c>
      <c r="K317" s="37" t="str">
        <f aca="false">TRIM(IF($B317="UNASSIGNED","NO COST CENTRE ","")&amp;IF(ISNA(MATCH($C317,Mapping!$B$7:$B$36,0)),"UNMAPPED ","")&amp;IF(COUNTIFS($C$4:$C317,$C317,$F$4:$F317,$F317,$H$4:$H317,$H317)&gt;1,"DUPLICATE ","")&amp;IF(AND(NOT(ISNA(MATCH($C317,Mapping!$B$7:$B$36,0))),$H317&lt;-'Control Panel'!$E$16),"CREDIT ","")&amp;IF(AND(NOT(ISNA(MATCH($C317,Mapping!$B$7:$B$36,0))),COUNTIFS(Budget!$B$4:$B$107,$B317,Budget!$C$4:$C$107,$D317)=0),"NO BUDGET ",""))</f>
        <v/>
      </c>
      <c r="L317" s="83" t="str">
        <f aca="false">IF($K317="","OK",$K317)</f>
        <v>OK</v>
      </c>
      <c r="M317" s="47" t="str">
        <f aca="false">IF(EXACT($L317,$I317),"ok","CHECK")</f>
        <v>ok</v>
      </c>
    </row>
    <row r="318" customFormat="false" ht="12" hidden="false" customHeight="true" outlineLevel="0" collapsed="false">
      <c r="B318" s="50" t="s">
        <v>150</v>
      </c>
      <c r="C318" s="50" t="s">
        <v>244</v>
      </c>
      <c r="D318" s="79" t="s">
        <v>111</v>
      </c>
      <c r="E318" s="80" t="n">
        <v>46189</v>
      </c>
      <c r="F318" s="50" t="s">
        <v>634</v>
      </c>
      <c r="G318" s="81" t="s">
        <v>246</v>
      </c>
      <c r="H318" s="82" t="n">
        <v>1132.42</v>
      </c>
      <c r="I318" s="37" t="s">
        <v>226</v>
      </c>
      <c r="J318" s="37" t="s">
        <v>77</v>
      </c>
      <c r="K318" s="37" t="str">
        <f aca="false">TRIM(IF($B318="UNASSIGNED","NO COST CENTRE ","")&amp;IF(ISNA(MATCH($C318,Mapping!$B$7:$B$36,0)),"UNMAPPED ","")&amp;IF(COUNTIFS($C$4:$C318,$C318,$F$4:$F318,$F318,$H$4:$H318,$H318)&gt;1,"DUPLICATE ","")&amp;IF(AND(NOT(ISNA(MATCH($C318,Mapping!$B$7:$B$36,0))),$H318&lt;-'Control Panel'!$E$16),"CREDIT ","")&amp;IF(AND(NOT(ISNA(MATCH($C318,Mapping!$B$7:$B$36,0))),COUNTIFS(Budget!$B$4:$B$107,$B318,Budget!$C$4:$C$107,$D318)=0),"NO BUDGET ",""))</f>
        <v/>
      </c>
      <c r="L318" s="83" t="str">
        <f aca="false">IF($K318="","OK",$K318)</f>
        <v>OK</v>
      </c>
      <c r="M318" s="47" t="str">
        <f aca="false">IF(EXACT($L318,$I318),"ok","CHECK")</f>
        <v>ok</v>
      </c>
    </row>
    <row r="319" customFormat="false" ht="12" hidden="false" customHeight="true" outlineLevel="0" collapsed="false">
      <c r="B319" s="50" t="s">
        <v>150</v>
      </c>
      <c r="C319" s="50" t="s">
        <v>241</v>
      </c>
      <c r="D319" s="79" t="s">
        <v>111</v>
      </c>
      <c r="E319" s="80" t="n">
        <v>46189</v>
      </c>
      <c r="F319" s="50" t="s">
        <v>635</v>
      </c>
      <c r="G319" s="81" t="s">
        <v>318</v>
      </c>
      <c r="H319" s="82" t="n">
        <v>1768.83</v>
      </c>
      <c r="I319" s="37" t="s">
        <v>226</v>
      </c>
      <c r="J319" s="37" t="s">
        <v>77</v>
      </c>
      <c r="K319" s="37" t="str">
        <f aca="false">TRIM(IF($B319="UNASSIGNED","NO COST CENTRE ","")&amp;IF(ISNA(MATCH($C319,Mapping!$B$7:$B$36,0)),"UNMAPPED ","")&amp;IF(COUNTIFS($C$4:$C319,$C319,$F$4:$F319,$F319,$H$4:$H319,$H319)&gt;1,"DUPLICATE ","")&amp;IF(AND(NOT(ISNA(MATCH($C319,Mapping!$B$7:$B$36,0))),$H319&lt;-'Control Panel'!$E$16),"CREDIT ","")&amp;IF(AND(NOT(ISNA(MATCH($C319,Mapping!$B$7:$B$36,0))),COUNTIFS(Budget!$B$4:$B$107,$B319,Budget!$C$4:$C$107,$D319)=0),"NO BUDGET ",""))</f>
        <v/>
      </c>
      <c r="L319" s="83" t="str">
        <f aca="false">IF($K319="","OK",$K319)</f>
        <v>OK</v>
      </c>
      <c r="M319" s="47" t="str">
        <f aca="false">IF(EXACT($L319,$I319),"ok","CHECK")</f>
        <v>ok</v>
      </c>
    </row>
    <row r="320" customFormat="false" ht="12" hidden="false" customHeight="true" outlineLevel="0" collapsed="false">
      <c r="B320" s="50" t="s">
        <v>150</v>
      </c>
      <c r="C320" s="50" t="s">
        <v>266</v>
      </c>
      <c r="D320" s="79" t="s">
        <v>109</v>
      </c>
      <c r="E320" s="80" t="n">
        <v>46190</v>
      </c>
      <c r="F320" s="50" t="s">
        <v>636</v>
      </c>
      <c r="G320" s="81" t="s">
        <v>272</v>
      </c>
      <c r="H320" s="82" t="n">
        <v>1879.02</v>
      </c>
      <c r="I320" s="37" t="s">
        <v>226</v>
      </c>
      <c r="J320" s="37" t="s">
        <v>77</v>
      </c>
      <c r="K320" s="37" t="str">
        <f aca="false">TRIM(IF($B320="UNASSIGNED","NO COST CENTRE ","")&amp;IF(ISNA(MATCH($C320,Mapping!$B$7:$B$36,0)),"UNMAPPED ","")&amp;IF(COUNTIFS($C$4:$C320,$C320,$F$4:$F320,$F320,$H$4:$H320,$H320)&gt;1,"DUPLICATE ","")&amp;IF(AND(NOT(ISNA(MATCH($C320,Mapping!$B$7:$B$36,0))),$H320&lt;-'Control Panel'!$E$16),"CREDIT ","")&amp;IF(AND(NOT(ISNA(MATCH($C320,Mapping!$B$7:$B$36,0))),COUNTIFS(Budget!$B$4:$B$107,$B320,Budget!$C$4:$C$107,$D320)=0),"NO BUDGET ",""))</f>
        <v/>
      </c>
      <c r="L320" s="83" t="str">
        <f aca="false">IF($K320="","OK",$K320)</f>
        <v>OK</v>
      </c>
      <c r="M320" s="47" t="str">
        <f aca="false">IF(EXACT($L320,$I320),"ok","CHECK")</f>
        <v>ok</v>
      </c>
    </row>
    <row r="321" customFormat="false" ht="12" hidden="false" customHeight="true" outlineLevel="0" collapsed="false">
      <c r="B321" s="50" t="s">
        <v>150</v>
      </c>
      <c r="C321" s="50" t="s">
        <v>289</v>
      </c>
      <c r="D321" s="79" t="s">
        <v>111</v>
      </c>
      <c r="E321" s="80" t="n">
        <v>46190</v>
      </c>
      <c r="F321" s="50" t="s">
        <v>637</v>
      </c>
      <c r="G321" s="81" t="s">
        <v>288</v>
      </c>
      <c r="H321" s="82" t="n">
        <v>1694.91</v>
      </c>
      <c r="I321" s="37" t="s">
        <v>226</v>
      </c>
      <c r="J321" s="37" t="s">
        <v>77</v>
      </c>
      <c r="K321" s="37" t="str">
        <f aca="false">TRIM(IF($B321="UNASSIGNED","NO COST CENTRE ","")&amp;IF(ISNA(MATCH($C321,Mapping!$B$7:$B$36,0)),"UNMAPPED ","")&amp;IF(COUNTIFS($C$4:$C321,$C321,$F$4:$F321,$F321,$H$4:$H321,$H321)&gt;1,"DUPLICATE ","")&amp;IF(AND(NOT(ISNA(MATCH($C321,Mapping!$B$7:$B$36,0))),$H321&lt;-'Control Panel'!$E$16),"CREDIT ","")&amp;IF(AND(NOT(ISNA(MATCH($C321,Mapping!$B$7:$B$36,0))),COUNTIFS(Budget!$B$4:$B$107,$B321,Budget!$C$4:$C$107,$D321)=0),"NO BUDGET ",""))</f>
        <v/>
      </c>
      <c r="L321" s="83" t="str">
        <f aca="false">IF($K321="","OK",$K321)</f>
        <v>OK</v>
      </c>
      <c r="M321" s="47" t="str">
        <f aca="false">IF(EXACT($L321,$I321),"ok","CHECK")</f>
        <v>ok</v>
      </c>
    </row>
    <row r="322" customFormat="false" ht="12" hidden="false" customHeight="true" outlineLevel="0" collapsed="false">
      <c r="B322" s="50" t="s">
        <v>150</v>
      </c>
      <c r="C322" s="50" t="s">
        <v>305</v>
      </c>
      <c r="D322" s="79" t="s">
        <v>115</v>
      </c>
      <c r="E322" s="80" t="n">
        <v>46190</v>
      </c>
      <c r="F322" s="50" t="s">
        <v>638</v>
      </c>
      <c r="G322" s="81" t="s">
        <v>639</v>
      </c>
      <c r="H322" s="82" t="n">
        <v>1869.71</v>
      </c>
      <c r="I322" s="37" t="s">
        <v>226</v>
      </c>
      <c r="J322" s="37" t="s">
        <v>77</v>
      </c>
      <c r="K322" s="37" t="str">
        <f aca="false">TRIM(IF($B322="UNASSIGNED","NO COST CENTRE ","")&amp;IF(ISNA(MATCH($C322,Mapping!$B$7:$B$36,0)),"UNMAPPED ","")&amp;IF(COUNTIFS($C$4:$C322,$C322,$F$4:$F322,$F322,$H$4:$H322,$H322)&gt;1,"DUPLICATE ","")&amp;IF(AND(NOT(ISNA(MATCH($C322,Mapping!$B$7:$B$36,0))),$H322&lt;-'Control Panel'!$E$16),"CREDIT ","")&amp;IF(AND(NOT(ISNA(MATCH($C322,Mapping!$B$7:$B$36,0))),COUNTIFS(Budget!$B$4:$B$107,$B322,Budget!$C$4:$C$107,$D322)=0),"NO BUDGET ",""))</f>
        <v/>
      </c>
      <c r="L322" s="83" t="str">
        <f aca="false">IF($K322="","OK",$K322)</f>
        <v>OK</v>
      </c>
      <c r="M322" s="47" t="str">
        <f aca="false">IF(EXACT($L322,$I322),"ok","CHECK")</f>
        <v>ok</v>
      </c>
    </row>
    <row r="323" customFormat="false" ht="12" hidden="false" customHeight="true" outlineLevel="0" collapsed="false">
      <c r="B323" s="50" t="s">
        <v>150</v>
      </c>
      <c r="C323" s="50" t="s">
        <v>259</v>
      </c>
      <c r="D323" s="79" t="s">
        <v>111</v>
      </c>
      <c r="E323" s="80" t="n">
        <v>46192</v>
      </c>
      <c r="F323" s="50" t="s">
        <v>640</v>
      </c>
      <c r="G323" s="81" t="s">
        <v>318</v>
      </c>
      <c r="H323" s="82" t="n">
        <v>1799.83</v>
      </c>
      <c r="I323" s="37" t="s">
        <v>226</v>
      </c>
      <c r="J323" s="37" t="s">
        <v>77</v>
      </c>
      <c r="K323" s="37" t="str">
        <f aca="false">TRIM(IF($B323="UNASSIGNED","NO COST CENTRE ","")&amp;IF(ISNA(MATCH($C323,Mapping!$B$7:$B$36,0)),"UNMAPPED ","")&amp;IF(COUNTIFS($C$4:$C323,$C323,$F$4:$F323,$F323,$H$4:$H323,$H323)&gt;1,"DUPLICATE ","")&amp;IF(AND(NOT(ISNA(MATCH($C323,Mapping!$B$7:$B$36,0))),$H323&lt;-'Control Panel'!$E$16),"CREDIT ","")&amp;IF(AND(NOT(ISNA(MATCH($C323,Mapping!$B$7:$B$36,0))),COUNTIFS(Budget!$B$4:$B$107,$B323,Budget!$C$4:$C$107,$D323)=0),"NO BUDGET ",""))</f>
        <v/>
      </c>
      <c r="L323" s="83" t="str">
        <f aca="false">IF($K323="","OK",$K323)</f>
        <v>OK</v>
      </c>
      <c r="M323" s="47" t="str">
        <f aca="false">IF(EXACT($L323,$I323),"ok","CHECK")</f>
        <v>ok</v>
      </c>
    </row>
    <row r="324" customFormat="false" ht="12" hidden="false" customHeight="true" outlineLevel="0" collapsed="false">
      <c r="B324" s="50" t="s">
        <v>150</v>
      </c>
      <c r="C324" s="50" t="s">
        <v>241</v>
      </c>
      <c r="D324" s="79" t="s">
        <v>111</v>
      </c>
      <c r="E324" s="80" t="n">
        <v>46192</v>
      </c>
      <c r="F324" s="50" t="s">
        <v>641</v>
      </c>
      <c r="G324" s="81" t="s">
        <v>342</v>
      </c>
      <c r="H324" s="82" t="n">
        <v>1210.81</v>
      </c>
      <c r="I324" s="37" t="s">
        <v>226</v>
      </c>
      <c r="J324" s="37" t="s">
        <v>77</v>
      </c>
      <c r="K324" s="37" t="str">
        <f aca="false">TRIM(IF($B324="UNASSIGNED","NO COST CENTRE ","")&amp;IF(ISNA(MATCH($C324,Mapping!$B$7:$B$36,0)),"UNMAPPED ","")&amp;IF(COUNTIFS($C$4:$C324,$C324,$F$4:$F324,$F324,$H$4:$H324,$H324)&gt;1,"DUPLICATE ","")&amp;IF(AND(NOT(ISNA(MATCH($C324,Mapping!$B$7:$B$36,0))),$H324&lt;-'Control Panel'!$E$16),"CREDIT ","")&amp;IF(AND(NOT(ISNA(MATCH($C324,Mapping!$B$7:$B$36,0))),COUNTIFS(Budget!$B$4:$B$107,$B324,Budget!$C$4:$C$107,$D324)=0),"NO BUDGET ",""))</f>
        <v/>
      </c>
      <c r="L324" s="83" t="str">
        <f aca="false">IF($K324="","OK",$K324)</f>
        <v>OK</v>
      </c>
      <c r="M324" s="47" t="str">
        <f aca="false">IF(EXACT($L324,$I324),"ok","CHECK")</f>
        <v>ok</v>
      </c>
    </row>
    <row r="325" customFormat="false" ht="12" hidden="false" customHeight="true" outlineLevel="0" collapsed="false">
      <c r="B325" s="50" t="s">
        <v>150</v>
      </c>
      <c r="C325" s="50" t="s">
        <v>305</v>
      </c>
      <c r="D325" s="79" t="s">
        <v>115</v>
      </c>
      <c r="E325" s="80" t="n">
        <v>46193</v>
      </c>
      <c r="F325" s="50" t="s">
        <v>642</v>
      </c>
      <c r="G325" s="81" t="s">
        <v>394</v>
      </c>
      <c r="H325" s="82" t="n">
        <v>2850.57</v>
      </c>
      <c r="I325" s="37" t="s">
        <v>226</v>
      </c>
      <c r="J325" s="37" t="s">
        <v>77</v>
      </c>
      <c r="K325" s="37" t="str">
        <f aca="false">TRIM(IF($B325="UNASSIGNED","NO COST CENTRE ","")&amp;IF(ISNA(MATCH($C325,Mapping!$B$7:$B$36,0)),"UNMAPPED ","")&amp;IF(COUNTIFS($C$4:$C325,$C325,$F$4:$F325,$F325,$H$4:$H325,$H325)&gt;1,"DUPLICATE ","")&amp;IF(AND(NOT(ISNA(MATCH($C325,Mapping!$B$7:$B$36,0))),$H325&lt;-'Control Panel'!$E$16),"CREDIT ","")&amp;IF(AND(NOT(ISNA(MATCH($C325,Mapping!$B$7:$B$36,0))),COUNTIFS(Budget!$B$4:$B$107,$B325,Budget!$C$4:$C$107,$D325)=0),"NO BUDGET ",""))</f>
        <v/>
      </c>
      <c r="L325" s="83" t="str">
        <f aca="false">IF($K325="","OK",$K325)</f>
        <v>OK</v>
      </c>
      <c r="M325" s="47" t="str">
        <f aca="false">IF(EXACT($L325,$I325),"ok","CHECK")</f>
        <v>ok</v>
      </c>
    </row>
    <row r="326" customFormat="false" ht="12" hidden="false" customHeight="true" outlineLevel="0" collapsed="false">
      <c r="B326" s="50" t="s">
        <v>150</v>
      </c>
      <c r="C326" s="50" t="s">
        <v>266</v>
      </c>
      <c r="D326" s="79" t="s">
        <v>109</v>
      </c>
      <c r="E326" s="80" t="n">
        <v>46195</v>
      </c>
      <c r="F326" s="50" t="s">
        <v>643</v>
      </c>
      <c r="G326" s="81" t="s">
        <v>334</v>
      </c>
      <c r="H326" s="82" t="n">
        <v>1580.95</v>
      </c>
      <c r="I326" s="37" t="s">
        <v>226</v>
      </c>
      <c r="J326" s="37" t="s">
        <v>77</v>
      </c>
      <c r="K326" s="37" t="str">
        <f aca="false">TRIM(IF($B326="UNASSIGNED","NO COST CENTRE ","")&amp;IF(ISNA(MATCH($C326,Mapping!$B$7:$B$36,0)),"UNMAPPED ","")&amp;IF(COUNTIFS($C$4:$C326,$C326,$F$4:$F326,$F326,$H$4:$H326,$H326)&gt;1,"DUPLICATE ","")&amp;IF(AND(NOT(ISNA(MATCH($C326,Mapping!$B$7:$B$36,0))),$H326&lt;-'Control Panel'!$E$16),"CREDIT ","")&amp;IF(AND(NOT(ISNA(MATCH($C326,Mapping!$B$7:$B$36,0))),COUNTIFS(Budget!$B$4:$B$107,$B326,Budget!$C$4:$C$107,$D326)=0),"NO BUDGET ",""))</f>
        <v/>
      </c>
      <c r="L326" s="83" t="str">
        <f aca="false">IF($K326="","OK",$K326)</f>
        <v>OK</v>
      </c>
      <c r="M326" s="47" t="str">
        <f aca="false">IF(EXACT($L326,$I326),"ok","CHECK")</f>
        <v>ok</v>
      </c>
    </row>
    <row r="327" customFormat="false" ht="12" hidden="false" customHeight="true" outlineLevel="0" collapsed="false">
      <c r="B327" s="50" t="s">
        <v>150</v>
      </c>
      <c r="C327" s="50" t="s">
        <v>255</v>
      </c>
      <c r="D327" s="79" t="s">
        <v>120</v>
      </c>
      <c r="E327" s="80" t="n">
        <v>46195</v>
      </c>
      <c r="F327" s="50" t="s">
        <v>644</v>
      </c>
      <c r="G327" s="81" t="s">
        <v>645</v>
      </c>
      <c r="H327" s="82" t="n">
        <v>389.64</v>
      </c>
      <c r="I327" s="37" t="s">
        <v>226</v>
      </c>
      <c r="J327" s="37" t="s">
        <v>77</v>
      </c>
      <c r="K327" s="37" t="str">
        <f aca="false">TRIM(IF($B327="UNASSIGNED","NO COST CENTRE ","")&amp;IF(ISNA(MATCH($C327,Mapping!$B$7:$B$36,0)),"UNMAPPED ","")&amp;IF(COUNTIFS($C$4:$C327,$C327,$F$4:$F327,$F327,$H$4:$H327,$H327)&gt;1,"DUPLICATE ","")&amp;IF(AND(NOT(ISNA(MATCH($C327,Mapping!$B$7:$B$36,0))),$H327&lt;-'Control Panel'!$E$16),"CREDIT ","")&amp;IF(AND(NOT(ISNA(MATCH($C327,Mapping!$B$7:$B$36,0))),COUNTIFS(Budget!$B$4:$B$107,$B327,Budget!$C$4:$C$107,$D327)=0),"NO BUDGET ",""))</f>
        <v/>
      </c>
      <c r="L327" s="83" t="str">
        <f aca="false">IF($K327="","OK",$K327)</f>
        <v>OK</v>
      </c>
      <c r="M327" s="47" t="str">
        <f aca="false">IF(EXACT($L327,$I327),"ok","CHECK")</f>
        <v>ok</v>
      </c>
    </row>
    <row r="328" customFormat="false" ht="12" hidden="false" customHeight="true" outlineLevel="0" collapsed="false">
      <c r="B328" s="50" t="s">
        <v>150</v>
      </c>
      <c r="C328" s="50" t="s">
        <v>247</v>
      </c>
      <c r="D328" s="79" t="s">
        <v>110</v>
      </c>
      <c r="E328" s="80" t="n">
        <v>46195</v>
      </c>
      <c r="F328" s="50" t="s">
        <v>646</v>
      </c>
      <c r="G328" s="81" t="s">
        <v>356</v>
      </c>
      <c r="H328" s="82" t="n">
        <v>1185.53</v>
      </c>
      <c r="I328" s="37" t="s">
        <v>226</v>
      </c>
      <c r="J328" s="37" t="s">
        <v>77</v>
      </c>
      <c r="K328" s="37" t="str">
        <f aca="false">TRIM(IF($B328="UNASSIGNED","NO COST CENTRE ","")&amp;IF(ISNA(MATCH($C328,Mapping!$B$7:$B$36,0)),"UNMAPPED ","")&amp;IF(COUNTIFS($C$4:$C328,$C328,$F$4:$F328,$F328,$H$4:$H328,$H328)&gt;1,"DUPLICATE ","")&amp;IF(AND(NOT(ISNA(MATCH($C328,Mapping!$B$7:$B$36,0))),$H328&lt;-'Control Panel'!$E$16),"CREDIT ","")&amp;IF(AND(NOT(ISNA(MATCH($C328,Mapping!$B$7:$B$36,0))),COUNTIFS(Budget!$B$4:$B$107,$B328,Budget!$C$4:$C$107,$D328)=0),"NO BUDGET ",""))</f>
        <v/>
      </c>
      <c r="L328" s="83" t="str">
        <f aca="false">IF($K328="","OK",$K328)</f>
        <v>OK</v>
      </c>
      <c r="M328" s="47" t="str">
        <f aca="false">IF(EXACT($L328,$I328),"ok","CHECK")</f>
        <v>ok</v>
      </c>
    </row>
    <row r="329" customFormat="false" ht="12" hidden="false" customHeight="true" outlineLevel="0" collapsed="false">
      <c r="B329" s="50" t="s">
        <v>150</v>
      </c>
      <c r="C329" s="50" t="s">
        <v>337</v>
      </c>
      <c r="D329" s="79" t="s">
        <v>109</v>
      </c>
      <c r="E329" s="80" t="n">
        <v>46196</v>
      </c>
      <c r="F329" s="50" t="s">
        <v>647</v>
      </c>
      <c r="G329" s="81" t="s">
        <v>407</v>
      </c>
      <c r="H329" s="82" t="n">
        <v>1264.71</v>
      </c>
      <c r="I329" s="37" t="s">
        <v>226</v>
      </c>
      <c r="J329" s="37" t="s">
        <v>77</v>
      </c>
      <c r="K329" s="37" t="str">
        <f aca="false">TRIM(IF($B329="UNASSIGNED","NO COST CENTRE ","")&amp;IF(ISNA(MATCH($C329,Mapping!$B$7:$B$36,0)),"UNMAPPED ","")&amp;IF(COUNTIFS($C$4:$C329,$C329,$F$4:$F329,$F329,$H$4:$H329,$H329)&gt;1,"DUPLICATE ","")&amp;IF(AND(NOT(ISNA(MATCH($C329,Mapping!$B$7:$B$36,0))),$H329&lt;-'Control Panel'!$E$16),"CREDIT ","")&amp;IF(AND(NOT(ISNA(MATCH($C329,Mapping!$B$7:$B$36,0))),COUNTIFS(Budget!$B$4:$B$107,$B329,Budget!$C$4:$C$107,$D329)=0),"NO BUDGET ",""))</f>
        <v/>
      </c>
      <c r="L329" s="83" t="str">
        <f aca="false">IF($K329="","OK",$K329)</f>
        <v>OK</v>
      </c>
      <c r="M329" s="47" t="str">
        <f aca="false">IF(EXACT($L329,$I329),"ok","CHECK")</f>
        <v>ok</v>
      </c>
    </row>
    <row r="330" customFormat="false" ht="12" hidden="false" customHeight="true" outlineLevel="0" collapsed="false">
      <c r="B330" s="50" t="s">
        <v>150</v>
      </c>
      <c r="C330" s="50" t="s">
        <v>241</v>
      </c>
      <c r="D330" s="79" t="s">
        <v>111</v>
      </c>
      <c r="E330" s="80" t="n">
        <v>46196</v>
      </c>
      <c r="F330" s="50" t="s">
        <v>648</v>
      </c>
      <c r="G330" s="81" t="s">
        <v>288</v>
      </c>
      <c r="H330" s="82" t="n">
        <v>1600.17</v>
      </c>
      <c r="I330" s="37" t="s">
        <v>226</v>
      </c>
      <c r="J330" s="37" t="s">
        <v>77</v>
      </c>
      <c r="K330" s="37" t="str">
        <f aca="false">TRIM(IF($B330="UNASSIGNED","NO COST CENTRE ","")&amp;IF(ISNA(MATCH($C330,Mapping!$B$7:$B$36,0)),"UNMAPPED ","")&amp;IF(COUNTIFS($C$4:$C330,$C330,$F$4:$F330,$F330,$H$4:$H330,$H330)&gt;1,"DUPLICATE ","")&amp;IF(AND(NOT(ISNA(MATCH($C330,Mapping!$B$7:$B$36,0))),$H330&lt;-'Control Panel'!$E$16),"CREDIT ","")&amp;IF(AND(NOT(ISNA(MATCH($C330,Mapping!$B$7:$B$36,0))),COUNTIFS(Budget!$B$4:$B$107,$B330,Budget!$C$4:$C$107,$D330)=0),"NO BUDGET ",""))</f>
        <v/>
      </c>
      <c r="L330" s="83" t="str">
        <f aca="false">IF($K330="","OK",$K330)</f>
        <v>OK</v>
      </c>
      <c r="M330" s="47" t="str">
        <f aca="false">IF(EXACT($L330,$I330),"ok","CHECK")</f>
        <v>ok</v>
      </c>
    </row>
    <row r="331" customFormat="false" ht="12" hidden="false" customHeight="true" outlineLevel="0" collapsed="false">
      <c r="B331" s="50" t="s">
        <v>150</v>
      </c>
      <c r="C331" s="50" t="s">
        <v>305</v>
      </c>
      <c r="D331" s="79" t="s">
        <v>115</v>
      </c>
      <c r="E331" s="80" t="n">
        <v>46196</v>
      </c>
      <c r="F331" s="50" t="s">
        <v>649</v>
      </c>
      <c r="G331" s="81" t="s">
        <v>328</v>
      </c>
      <c r="H331" s="82" t="n">
        <v>3288.95</v>
      </c>
      <c r="I331" s="37" t="s">
        <v>226</v>
      </c>
      <c r="J331" s="37" t="s">
        <v>77</v>
      </c>
      <c r="K331" s="37" t="str">
        <f aca="false">TRIM(IF($B331="UNASSIGNED","NO COST CENTRE ","")&amp;IF(ISNA(MATCH($C331,Mapping!$B$7:$B$36,0)),"UNMAPPED ","")&amp;IF(COUNTIFS($C$4:$C331,$C331,$F$4:$F331,$F331,$H$4:$H331,$H331)&gt;1,"DUPLICATE ","")&amp;IF(AND(NOT(ISNA(MATCH($C331,Mapping!$B$7:$B$36,0))),$H331&lt;-'Control Panel'!$E$16),"CREDIT ","")&amp;IF(AND(NOT(ISNA(MATCH($C331,Mapping!$B$7:$B$36,0))),COUNTIFS(Budget!$B$4:$B$107,$B331,Budget!$C$4:$C$107,$D331)=0),"NO BUDGET ",""))</f>
        <v/>
      </c>
      <c r="L331" s="83" t="str">
        <f aca="false">IF($K331="","OK",$K331)</f>
        <v>OK</v>
      </c>
      <c r="M331" s="47" t="str">
        <f aca="false">IF(EXACT($L331,$I331),"ok","CHECK")</f>
        <v>ok</v>
      </c>
    </row>
    <row r="332" customFormat="false" ht="12" hidden="false" customHeight="true" outlineLevel="0" collapsed="false">
      <c r="B332" s="50" t="s">
        <v>150</v>
      </c>
      <c r="C332" s="50" t="s">
        <v>250</v>
      </c>
      <c r="D332" s="79" t="s">
        <v>115</v>
      </c>
      <c r="E332" s="80" t="n">
        <v>46198</v>
      </c>
      <c r="F332" s="50" t="s">
        <v>650</v>
      </c>
      <c r="G332" s="81" t="s">
        <v>367</v>
      </c>
      <c r="H332" s="82" t="n">
        <v>2463.65</v>
      </c>
      <c r="I332" s="37" t="s">
        <v>226</v>
      </c>
      <c r="J332" s="37" t="s">
        <v>77</v>
      </c>
      <c r="K332" s="37" t="str">
        <f aca="false">TRIM(IF($B332="UNASSIGNED","NO COST CENTRE ","")&amp;IF(ISNA(MATCH($C332,Mapping!$B$7:$B$36,0)),"UNMAPPED ","")&amp;IF(COUNTIFS($C$4:$C332,$C332,$F$4:$F332,$F332,$H$4:$H332,$H332)&gt;1,"DUPLICATE ","")&amp;IF(AND(NOT(ISNA(MATCH($C332,Mapping!$B$7:$B$36,0))),$H332&lt;-'Control Panel'!$E$16),"CREDIT ","")&amp;IF(AND(NOT(ISNA(MATCH($C332,Mapping!$B$7:$B$36,0))),COUNTIFS(Budget!$B$4:$B$107,$B332,Budget!$C$4:$C$107,$D332)=0),"NO BUDGET ",""))</f>
        <v/>
      </c>
      <c r="L332" s="83" t="str">
        <f aca="false">IF($K332="","OK",$K332)</f>
        <v>OK</v>
      </c>
      <c r="M332" s="47" t="str">
        <f aca="false">IF(EXACT($L332,$I332),"ok","CHECK")</f>
        <v>ok</v>
      </c>
    </row>
    <row r="333" customFormat="false" ht="12" hidden="false" customHeight="true" outlineLevel="0" collapsed="false">
      <c r="B333" s="50" t="s">
        <v>150</v>
      </c>
      <c r="C333" s="50" t="s">
        <v>230</v>
      </c>
      <c r="D333" s="79" t="s">
        <v>115</v>
      </c>
      <c r="E333" s="80" t="n">
        <v>46201</v>
      </c>
      <c r="F333" s="50" t="s">
        <v>651</v>
      </c>
      <c r="G333" s="81" t="s">
        <v>252</v>
      </c>
      <c r="H333" s="82" t="n">
        <v>2312.71</v>
      </c>
      <c r="I333" s="37" t="s">
        <v>226</v>
      </c>
      <c r="J333" s="37" t="s">
        <v>77</v>
      </c>
      <c r="K333" s="37" t="str">
        <f aca="false">TRIM(IF($B333="UNASSIGNED","NO COST CENTRE ","")&amp;IF(ISNA(MATCH($C333,Mapping!$B$7:$B$36,0)),"UNMAPPED ","")&amp;IF(COUNTIFS($C$4:$C333,$C333,$F$4:$F333,$F333,$H$4:$H333,$H333)&gt;1,"DUPLICATE ","")&amp;IF(AND(NOT(ISNA(MATCH($C333,Mapping!$B$7:$B$36,0))),$H333&lt;-'Control Panel'!$E$16),"CREDIT ","")&amp;IF(AND(NOT(ISNA(MATCH($C333,Mapping!$B$7:$B$36,0))),COUNTIFS(Budget!$B$4:$B$107,$B333,Budget!$C$4:$C$107,$D333)=0),"NO BUDGET ",""))</f>
        <v/>
      </c>
      <c r="L333" s="83" t="str">
        <f aca="false">IF($K333="","OK",$K333)</f>
        <v>OK</v>
      </c>
      <c r="M333" s="47" t="str">
        <f aca="false">IF(EXACT($L333,$I333),"ok","CHECK")</f>
        <v>ok</v>
      </c>
    </row>
    <row r="334" customFormat="false" ht="12" hidden="false" customHeight="true" outlineLevel="0" collapsed="false">
      <c r="B334" s="50" t="s">
        <v>150</v>
      </c>
      <c r="C334" s="50" t="s">
        <v>524</v>
      </c>
      <c r="D334" s="79" t="s">
        <v>118</v>
      </c>
      <c r="E334" s="80" t="n">
        <v>46203</v>
      </c>
      <c r="F334" s="50" t="s">
        <v>652</v>
      </c>
      <c r="G334" s="81" t="s">
        <v>526</v>
      </c>
      <c r="H334" s="82" t="n">
        <v>616.86</v>
      </c>
      <c r="I334" s="37" t="s">
        <v>226</v>
      </c>
      <c r="J334" s="37" t="s">
        <v>77</v>
      </c>
      <c r="K334" s="37" t="str">
        <f aca="false">TRIM(IF($B334="UNASSIGNED","NO COST CENTRE ","")&amp;IF(ISNA(MATCH($C334,Mapping!$B$7:$B$36,0)),"UNMAPPED ","")&amp;IF(COUNTIFS($C$4:$C334,$C334,$F$4:$F334,$F334,$H$4:$H334,$H334)&gt;1,"DUPLICATE ","")&amp;IF(AND(NOT(ISNA(MATCH($C334,Mapping!$B$7:$B$36,0))),$H334&lt;-'Control Panel'!$E$16),"CREDIT ","")&amp;IF(AND(NOT(ISNA(MATCH($C334,Mapping!$B$7:$B$36,0))),COUNTIFS(Budget!$B$4:$B$107,$B334,Budget!$C$4:$C$107,$D334)=0),"NO BUDGET ",""))</f>
        <v/>
      </c>
      <c r="L334" s="83" t="str">
        <f aca="false">IF($K334="","OK",$K334)</f>
        <v>OK</v>
      </c>
      <c r="M334" s="47" t="str">
        <f aca="false">IF(EXACT($L334,$I334),"ok","CHECK")</f>
        <v>ok</v>
      </c>
    </row>
    <row r="335" customFormat="false" ht="12" hidden="false" customHeight="true" outlineLevel="0" collapsed="false">
      <c r="B335" s="50" t="s">
        <v>150</v>
      </c>
      <c r="C335" s="50" t="s">
        <v>266</v>
      </c>
      <c r="D335" s="79" t="s">
        <v>109</v>
      </c>
      <c r="E335" s="80" t="n">
        <v>46203</v>
      </c>
      <c r="F335" s="50" t="s">
        <v>653</v>
      </c>
      <c r="G335" s="81" t="s">
        <v>654</v>
      </c>
      <c r="H335" s="82" t="n">
        <v>1005.42</v>
      </c>
      <c r="I335" s="37" t="s">
        <v>226</v>
      </c>
      <c r="J335" s="37" t="s">
        <v>77</v>
      </c>
      <c r="K335" s="37" t="str">
        <f aca="false">TRIM(IF($B335="UNASSIGNED","NO COST CENTRE ","")&amp;IF(ISNA(MATCH($C335,Mapping!$B$7:$B$36,0)),"UNMAPPED ","")&amp;IF(COUNTIFS($C$4:$C335,$C335,$F$4:$F335,$F335,$H$4:$H335,$H335)&gt;1,"DUPLICATE ","")&amp;IF(AND(NOT(ISNA(MATCH($C335,Mapping!$B$7:$B$36,0))),$H335&lt;-'Control Panel'!$E$16),"CREDIT ","")&amp;IF(AND(NOT(ISNA(MATCH($C335,Mapping!$B$7:$B$36,0))),COUNTIFS(Budget!$B$4:$B$107,$B335,Budget!$C$4:$C$107,$D335)=0),"NO BUDGET ",""))</f>
        <v/>
      </c>
      <c r="L335" s="83" t="str">
        <f aca="false">IF($K335="","OK",$K335)</f>
        <v>OK</v>
      </c>
      <c r="M335" s="47" t="str">
        <f aca="false">IF(EXACT($L335,$I335),"ok","CHECK")</f>
        <v>ok</v>
      </c>
    </row>
    <row r="336" customFormat="false" ht="12" hidden="false" customHeight="true" outlineLevel="0" collapsed="false">
      <c r="B336" s="50" t="s">
        <v>150</v>
      </c>
      <c r="C336" s="50" t="s">
        <v>230</v>
      </c>
      <c r="D336" s="79" t="s">
        <v>115</v>
      </c>
      <c r="E336" s="80" t="n">
        <v>46203</v>
      </c>
      <c r="F336" s="50" t="s">
        <v>655</v>
      </c>
      <c r="G336" s="81" t="s">
        <v>307</v>
      </c>
      <c r="H336" s="82" t="n">
        <v>3034.72</v>
      </c>
      <c r="I336" s="37" t="s">
        <v>226</v>
      </c>
      <c r="J336" s="37" t="s">
        <v>77</v>
      </c>
      <c r="K336" s="37" t="str">
        <f aca="false">TRIM(IF($B336="UNASSIGNED","NO COST CENTRE ","")&amp;IF(ISNA(MATCH($C336,Mapping!$B$7:$B$36,0)),"UNMAPPED ","")&amp;IF(COUNTIFS($C$4:$C336,$C336,$F$4:$F336,$F336,$H$4:$H336,$H336)&gt;1,"DUPLICATE ","")&amp;IF(AND(NOT(ISNA(MATCH($C336,Mapping!$B$7:$B$36,0))),$H336&lt;-'Control Panel'!$E$16),"CREDIT ","")&amp;IF(AND(NOT(ISNA(MATCH($C336,Mapping!$B$7:$B$36,0))),COUNTIFS(Budget!$B$4:$B$107,$B336,Budget!$C$4:$C$107,$D336)=0),"NO BUDGET ",""))</f>
        <v/>
      </c>
      <c r="L336" s="83" t="str">
        <f aca="false">IF($K336="","OK",$K336)</f>
        <v>OK</v>
      </c>
      <c r="M336" s="47" t="str">
        <f aca="false">IF(EXACT($L336,$I336),"ok","CHECK")</f>
        <v>ok</v>
      </c>
    </row>
    <row r="337" customFormat="false" ht="12" hidden="false" customHeight="true" outlineLevel="0" collapsed="false">
      <c r="B337" s="50" t="s">
        <v>151</v>
      </c>
      <c r="C337" s="50" t="s">
        <v>656</v>
      </c>
      <c r="D337" s="79" t="s">
        <v>117</v>
      </c>
      <c r="E337" s="80" t="n">
        <v>46174</v>
      </c>
      <c r="F337" s="50" t="s">
        <v>657</v>
      </c>
      <c r="G337" s="81" t="s">
        <v>658</v>
      </c>
      <c r="H337" s="82" t="n">
        <v>1225.78</v>
      </c>
      <c r="I337" s="37" t="s">
        <v>226</v>
      </c>
      <c r="J337" s="37" t="s">
        <v>77</v>
      </c>
      <c r="K337" s="37" t="str">
        <f aca="false">TRIM(IF($B337="UNASSIGNED","NO COST CENTRE ","")&amp;IF(ISNA(MATCH($C337,Mapping!$B$7:$B$36,0)),"UNMAPPED ","")&amp;IF(COUNTIFS($C$4:$C337,$C337,$F$4:$F337,$F337,$H$4:$H337,$H337)&gt;1,"DUPLICATE ","")&amp;IF(AND(NOT(ISNA(MATCH($C337,Mapping!$B$7:$B$36,0))),$H337&lt;-'Control Panel'!$E$16),"CREDIT ","")&amp;IF(AND(NOT(ISNA(MATCH($C337,Mapping!$B$7:$B$36,0))),COUNTIFS(Budget!$B$4:$B$107,$B337,Budget!$C$4:$C$107,$D337)=0),"NO BUDGET ",""))</f>
        <v/>
      </c>
      <c r="L337" s="83" t="str">
        <f aca="false">IF($K337="","OK",$K337)</f>
        <v>OK</v>
      </c>
      <c r="M337" s="47" t="str">
        <f aca="false">IF(EXACT($L337,$I337),"ok","CHECK")</f>
        <v>ok</v>
      </c>
    </row>
    <row r="338" customFormat="false" ht="12" hidden="false" customHeight="true" outlineLevel="0" collapsed="false">
      <c r="B338" s="50" t="s">
        <v>151</v>
      </c>
      <c r="C338" s="50" t="s">
        <v>241</v>
      </c>
      <c r="D338" s="79" t="s">
        <v>111</v>
      </c>
      <c r="E338" s="80" t="n">
        <v>46174</v>
      </c>
      <c r="F338" s="50" t="s">
        <v>659</v>
      </c>
      <c r="G338" s="81" t="s">
        <v>261</v>
      </c>
      <c r="H338" s="82" t="n">
        <v>1597.51</v>
      </c>
      <c r="I338" s="37" t="s">
        <v>226</v>
      </c>
      <c r="J338" s="37" t="s">
        <v>77</v>
      </c>
      <c r="K338" s="37" t="str">
        <f aca="false">TRIM(IF($B338="UNASSIGNED","NO COST CENTRE ","")&amp;IF(ISNA(MATCH($C338,Mapping!$B$7:$B$36,0)),"UNMAPPED ","")&amp;IF(COUNTIFS($C$4:$C338,$C338,$F$4:$F338,$F338,$H$4:$H338,$H338)&gt;1,"DUPLICATE ","")&amp;IF(AND(NOT(ISNA(MATCH($C338,Mapping!$B$7:$B$36,0))),$H338&lt;-'Control Panel'!$E$16),"CREDIT ","")&amp;IF(AND(NOT(ISNA(MATCH($C338,Mapping!$B$7:$B$36,0))),COUNTIFS(Budget!$B$4:$B$107,$B338,Budget!$C$4:$C$107,$D338)=0),"NO BUDGET ",""))</f>
        <v/>
      </c>
      <c r="L338" s="83" t="str">
        <f aca="false">IF($K338="","OK",$K338)</f>
        <v>OK</v>
      </c>
      <c r="M338" s="47" t="str">
        <f aca="false">IF(EXACT($L338,$I338),"ok","CHECK")</f>
        <v>ok</v>
      </c>
    </row>
    <row r="339" customFormat="false" ht="12" hidden="false" customHeight="true" outlineLevel="0" collapsed="false">
      <c r="B339" s="50" t="s">
        <v>151</v>
      </c>
      <c r="C339" s="50" t="s">
        <v>235</v>
      </c>
      <c r="D339" s="79" t="s">
        <v>122</v>
      </c>
      <c r="E339" s="80" t="n">
        <v>46174</v>
      </c>
      <c r="F339" s="50" t="s">
        <v>660</v>
      </c>
      <c r="G339" s="81" t="s">
        <v>237</v>
      </c>
      <c r="H339" s="82" t="n">
        <v>3403.62</v>
      </c>
      <c r="I339" s="37" t="s">
        <v>226</v>
      </c>
      <c r="J339" s="37" t="s">
        <v>77</v>
      </c>
      <c r="K339" s="37" t="str">
        <f aca="false">TRIM(IF($B339="UNASSIGNED","NO COST CENTRE ","")&amp;IF(ISNA(MATCH($C339,Mapping!$B$7:$B$36,0)),"UNMAPPED ","")&amp;IF(COUNTIFS($C$4:$C339,$C339,$F$4:$F339,$F339,$H$4:$H339,$H339)&gt;1,"DUPLICATE ","")&amp;IF(AND(NOT(ISNA(MATCH($C339,Mapping!$B$7:$B$36,0))),$H339&lt;-'Control Panel'!$E$16),"CREDIT ","")&amp;IF(AND(NOT(ISNA(MATCH($C339,Mapping!$B$7:$B$36,0))),COUNTIFS(Budget!$B$4:$B$107,$B339,Budget!$C$4:$C$107,$D339)=0),"NO BUDGET ",""))</f>
        <v/>
      </c>
      <c r="L339" s="83" t="str">
        <f aca="false">IF($K339="","OK",$K339)</f>
        <v>OK</v>
      </c>
      <c r="M339" s="47" t="str">
        <f aca="false">IF(EXACT($L339,$I339),"ok","CHECK")</f>
        <v>ok</v>
      </c>
    </row>
    <row r="340" customFormat="false" ht="12" hidden="false" customHeight="true" outlineLevel="0" collapsed="false">
      <c r="B340" s="50" t="s">
        <v>151</v>
      </c>
      <c r="C340" s="50" t="s">
        <v>661</v>
      </c>
      <c r="D340" s="79" t="s">
        <v>117</v>
      </c>
      <c r="E340" s="80" t="n">
        <v>46175</v>
      </c>
      <c r="F340" s="50" t="s">
        <v>662</v>
      </c>
      <c r="G340" s="81" t="s">
        <v>663</v>
      </c>
      <c r="H340" s="82" t="n">
        <v>2154.86</v>
      </c>
      <c r="I340" s="37" t="s">
        <v>226</v>
      </c>
      <c r="J340" s="37" t="s">
        <v>77</v>
      </c>
      <c r="K340" s="37" t="str">
        <f aca="false">TRIM(IF($B340="UNASSIGNED","NO COST CENTRE ","")&amp;IF(ISNA(MATCH($C340,Mapping!$B$7:$B$36,0)),"UNMAPPED ","")&amp;IF(COUNTIFS($C$4:$C340,$C340,$F$4:$F340,$F340,$H$4:$H340,$H340)&gt;1,"DUPLICATE ","")&amp;IF(AND(NOT(ISNA(MATCH($C340,Mapping!$B$7:$B$36,0))),$H340&lt;-'Control Panel'!$E$16),"CREDIT ","")&amp;IF(AND(NOT(ISNA(MATCH($C340,Mapping!$B$7:$B$36,0))),COUNTIFS(Budget!$B$4:$B$107,$B340,Budget!$C$4:$C$107,$D340)=0),"NO BUDGET ",""))</f>
        <v/>
      </c>
      <c r="L340" s="83" t="str">
        <f aca="false">IF($K340="","OK",$K340)</f>
        <v>OK</v>
      </c>
      <c r="M340" s="47" t="str">
        <f aca="false">IF(EXACT($L340,$I340),"ok","CHECK")</f>
        <v>ok</v>
      </c>
    </row>
    <row r="341" customFormat="false" ht="12" hidden="false" customHeight="true" outlineLevel="0" collapsed="false">
      <c r="B341" s="50" t="s">
        <v>151</v>
      </c>
      <c r="C341" s="50" t="s">
        <v>362</v>
      </c>
      <c r="D341" s="79" t="s">
        <v>120</v>
      </c>
      <c r="E341" s="80" t="n">
        <v>46175</v>
      </c>
      <c r="F341" s="50" t="s">
        <v>664</v>
      </c>
      <c r="G341" s="81" t="s">
        <v>665</v>
      </c>
      <c r="H341" s="82" t="n">
        <v>292.6</v>
      </c>
      <c r="I341" s="37" t="s">
        <v>226</v>
      </c>
      <c r="J341" s="37" t="s">
        <v>77</v>
      </c>
      <c r="K341" s="37" t="str">
        <f aca="false">TRIM(IF($B341="UNASSIGNED","NO COST CENTRE ","")&amp;IF(ISNA(MATCH($C341,Mapping!$B$7:$B$36,0)),"UNMAPPED ","")&amp;IF(COUNTIFS($C$4:$C341,$C341,$F$4:$F341,$F341,$H$4:$H341,$H341)&gt;1,"DUPLICATE ","")&amp;IF(AND(NOT(ISNA(MATCH($C341,Mapping!$B$7:$B$36,0))),$H341&lt;-'Control Panel'!$E$16),"CREDIT ","")&amp;IF(AND(NOT(ISNA(MATCH($C341,Mapping!$B$7:$B$36,0))),COUNTIFS(Budget!$B$4:$B$107,$B341,Budget!$C$4:$C$107,$D341)=0),"NO BUDGET ",""))</f>
        <v/>
      </c>
      <c r="L341" s="83" t="str">
        <f aca="false">IF($K341="","OK",$K341)</f>
        <v>OK</v>
      </c>
      <c r="M341" s="47" t="str">
        <f aca="false">IF(EXACT($L341,$I341),"ok","CHECK")</f>
        <v>ok</v>
      </c>
    </row>
    <row r="342" customFormat="false" ht="12" hidden="false" customHeight="true" outlineLevel="0" collapsed="false">
      <c r="B342" s="50" t="s">
        <v>151</v>
      </c>
      <c r="C342" s="50" t="s">
        <v>661</v>
      </c>
      <c r="D342" s="79" t="s">
        <v>117</v>
      </c>
      <c r="E342" s="80" t="n">
        <v>46175</v>
      </c>
      <c r="F342" s="50" t="s">
        <v>666</v>
      </c>
      <c r="G342" s="81" t="s">
        <v>667</v>
      </c>
      <c r="H342" s="82" t="n">
        <v>1627.38</v>
      </c>
      <c r="I342" s="37" t="s">
        <v>226</v>
      </c>
      <c r="J342" s="37" t="s">
        <v>77</v>
      </c>
      <c r="K342" s="37" t="str">
        <f aca="false">TRIM(IF($B342="UNASSIGNED","NO COST CENTRE ","")&amp;IF(ISNA(MATCH($C342,Mapping!$B$7:$B$36,0)),"UNMAPPED ","")&amp;IF(COUNTIFS($C$4:$C342,$C342,$F$4:$F342,$F342,$H$4:$H342,$H342)&gt;1,"DUPLICATE ","")&amp;IF(AND(NOT(ISNA(MATCH($C342,Mapping!$B$7:$B$36,0))),$H342&lt;-'Control Panel'!$E$16),"CREDIT ","")&amp;IF(AND(NOT(ISNA(MATCH($C342,Mapping!$B$7:$B$36,0))),COUNTIFS(Budget!$B$4:$B$107,$B342,Budget!$C$4:$C$107,$D342)=0),"NO BUDGET ",""))</f>
        <v/>
      </c>
      <c r="L342" s="83" t="str">
        <f aca="false">IF($K342="","OK",$K342)</f>
        <v>OK</v>
      </c>
      <c r="M342" s="47" t="str">
        <f aca="false">IF(EXACT($L342,$I342),"ok","CHECK")</f>
        <v>ok</v>
      </c>
    </row>
    <row r="343" customFormat="false" ht="12" hidden="false" customHeight="true" outlineLevel="0" collapsed="false">
      <c r="B343" s="50" t="s">
        <v>151</v>
      </c>
      <c r="C343" s="50" t="s">
        <v>656</v>
      </c>
      <c r="D343" s="79" t="s">
        <v>117</v>
      </c>
      <c r="E343" s="80" t="n">
        <v>46175</v>
      </c>
      <c r="F343" s="50" t="s">
        <v>668</v>
      </c>
      <c r="G343" s="81" t="s">
        <v>667</v>
      </c>
      <c r="H343" s="82" t="n">
        <v>1528.42</v>
      </c>
      <c r="I343" s="37" t="s">
        <v>226</v>
      </c>
      <c r="J343" s="37" t="s">
        <v>77</v>
      </c>
      <c r="K343" s="37" t="str">
        <f aca="false">TRIM(IF($B343="UNASSIGNED","NO COST CENTRE ","")&amp;IF(ISNA(MATCH($C343,Mapping!$B$7:$B$36,0)),"UNMAPPED ","")&amp;IF(COUNTIFS($C$4:$C343,$C343,$F$4:$F343,$F343,$H$4:$H343,$H343)&gt;1,"DUPLICATE ","")&amp;IF(AND(NOT(ISNA(MATCH($C343,Mapping!$B$7:$B$36,0))),$H343&lt;-'Control Panel'!$E$16),"CREDIT ","")&amp;IF(AND(NOT(ISNA(MATCH($C343,Mapping!$B$7:$B$36,0))),COUNTIFS(Budget!$B$4:$B$107,$B343,Budget!$C$4:$C$107,$D343)=0),"NO BUDGET ",""))</f>
        <v/>
      </c>
      <c r="L343" s="83" t="str">
        <f aca="false">IF($K343="","OK",$K343)</f>
        <v>OK</v>
      </c>
      <c r="M343" s="47" t="str">
        <f aca="false">IF(EXACT($L343,$I343),"ok","CHECK")</f>
        <v>ok</v>
      </c>
    </row>
    <row r="344" customFormat="false" ht="12" hidden="false" customHeight="true" outlineLevel="0" collapsed="false">
      <c r="B344" s="50" t="s">
        <v>151</v>
      </c>
      <c r="C344" s="50" t="s">
        <v>241</v>
      </c>
      <c r="D344" s="79" t="s">
        <v>111</v>
      </c>
      <c r="E344" s="80" t="n">
        <v>46176</v>
      </c>
      <c r="F344" s="50" t="s">
        <v>669</v>
      </c>
      <c r="G344" s="81" t="s">
        <v>318</v>
      </c>
      <c r="H344" s="82" t="n">
        <v>1604.47</v>
      </c>
      <c r="I344" s="37" t="s">
        <v>226</v>
      </c>
      <c r="J344" s="37" t="s">
        <v>77</v>
      </c>
      <c r="K344" s="37" t="str">
        <f aca="false">TRIM(IF($B344="UNASSIGNED","NO COST CENTRE ","")&amp;IF(ISNA(MATCH($C344,Mapping!$B$7:$B$36,0)),"UNMAPPED ","")&amp;IF(COUNTIFS($C$4:$C344,$C344,$F$4:$F344,$F344,$H$4:$H344,$H344)&gt;1,"DUPLICATE ","")&amp;IF(AND(NOT(ISNA(MATCH($C344,Mapping!$B$7:$B$36,0))),$H344&lt;-'Control Panel'!$E$16),"CREDIT ","")&amp;IF(AND(NOT(ISNA(MATCH($C344,Mapping!$B$7:$B$36,0))),COUNTIFS(Budget!$B$4:$B$107,$B344,Budget!$C$4:$C$107,$D344)=0),"NO BUDGET ",""))</f>
        <v/>
      </c>
      <c r="L344" s="83" t="str">
        <f aca="false">IF($K344="","OK",$K344)</f>
        <v>OK</v>
      </c>
      <c r="M344" s="47" t="str">
        <f aca="false">IF(EXACT($L344,$I344),"ok","CHECK")</f>
        <v>ok</v>
      </c>
    </row>
    <row r="345" customFormat="false" ht="12" hidden="false" customHeight="true" outlineLevel="0" collapsed="false">
      <c r="B345" s="50" t="s">
        <v>151</v>
      </c>
      <c r="C345" s="50" t="s">
        <v>661</v>
      </c>
      <c r="D345" s="79" t="s">
        <v>117</v>
      </c>
      <c r="E345" s="80" t="n">
        <v>46178</v>
      </c>
      <c r="F345" s="50" t="s">
        <v>670</v>
      </c>
      <c r="G345" s="81" t="s">
        <v>671</v>
      </c>
      <c r="H345" s="82" t="n">
        <v>1772.9</v>
      </c>
      <c r="I345" s="37" t="s">
        <v>226</v>
      </c>
      <c r="J345" s="37" t="s">
        <v>77</v>
      </c>
      <c r="K345" s="37" t="str">
        <f aca="false">TRIM(IF($B345="UNASSIGNED","NO COST CENTRE ","")&amp;IF(ISNA(MATCH($C345,Mapping!$B$7:$B$36,0)),"UNMAPPED ","")&amp;IF(COUNTIFS($C$4:$C345,$C345,$F$4:$F345,$F345,$H$4:$H345,$H345)&gt;1,"DUPLICATE ","")&amp;IF(AND(NOT(ISNA(MATCH($C345,Mapping!$B$7:$B$36,0))),$H345&lt;-'Control Panel'!$E$16),"CREDIT ","")&amp;IF(AND(NOT(ISNA(MATCH($C345,Mapping!$B$7:$B$36,0))),COUNTIFS(Budget!$B$4:$B$107,$B345,Budget!$C$4:$C$107,$D345)=0),"NO BUDGET ",""))</f>
        <v/>
      </c>
      <c r="L345" s="83" t="str">
        <f aca="false">IF($K345="","OK",$K345)</f>
        <v>OK</v>
      </c>
      <c r="M345" s="47" t="str">
        <f aca="false">IF(EXACT($L345,$I345),"ok","CHECK")</f>
        <v>ok</v>
      </c>
    </row>
    <row r="346" customFormat="false" ht="12" hidden="false" customHeight="true" outlineLevel="0" collapsed="false">
      <c r="B346" s="50" t="s">
        <v>151</v>
      </c>
      <c r="C346" s="50" t="s">
        <v>661</v>
      </c>
      <c r="D346" s="79" t="s">
        <v>117</v>
      </c>
      <c r="E346" s="80" t="n">
        <v>46178</v>
      </c>
      <c r="F346" s="50" t="s">
        <v>672</v>
      </c>
      <c r="G346" s="81" t="s">
        <v>673</v>
      </c>
      <c r="H346" s="82" t="n">
        <v>1937</v>
      </c>
      <c r="I346" s="37" t="s">
        <v>226</v>
      </c>
      <c r="J346" s="37" t="s">
        <v>77</v>
      </c>
      <c r="K346" s="37" t="str">
        <f aca="false">TRIM(IF($B346="UNASSIGNED","NO COST CENTRE ","")&amp;IF(ISNA(MATCH($C346,Mapping!$B$7:$B$36,0)),"UNMAPPED ","")&amp;IF(COUNTIFS($C$4:$C346,$C346,$F$4:$F346,$F346,$H$4:$H346,$H346)&gt;1,"DUPLICATE ","")&amp;IF(AND(NOT(ISNA(MATCH($C346,Mapping!$B$7:$B$36,0))),$H346&lt;-'Control Panel'!$E$16),"CREDIT ","")&amp;IF(AND(NOT(ISNA(MATCH($C346,Mapping!$B$7:$B$36,0))),COUNTIFS(Budget!$B$4:$B$107,$B346,Budget!$C$4:$C$107,$D346)=0),"NO BUDGET ",""))</f>
        <v/>
      </c>
      <c r="L346" s="83" t="str">
        <f aca="false">IF($K346="","OK",$K346)</f>
        <v>OK</v>
      </c>
      <c r="M346" s="47" t="str">
        <f aca="false">IF(EXACT($L346,$I346),"ok","CHECK")</f>
        <v>ok</v>
      </c>
    </row>
    <row r="347" customFormat="false" ht="12" hidden="false" customHeight="true" outlineLevel="0" collapsed="false">
      <c r="B347" s="50" t="s">
        <v>151</v>
      </c>
      <c r="C347" s="50" t="s">
        <v>661</v>
      </c>
      <c r="D347" s="79" t="s">
        <v>117</v>
      </c>
      <c r="E347" s="80" t="n">
        <v>46178</v>
      </c>
      <c r="F347" s="50" t="s">
        <v>674</v>
      </c>
      <c r="G347" s="81" t="s">
        <v>675</v>
      </c>
      <c r="H347" s="82" t="n">
        <v>1915.96</v>
      </c>
      <c r="I347" s="37" t="s">
        <v>226</v>
      </c>
      <c r="J347" s="37" t="s">
        <v>77</v>
      </c>
      <c r="K347" s="37" t="str">
        <f aca="false">TRIM(IF($B347="UNASSIGNED","NO COST CENTRE ","")&amp;IF(ISNA(MATCH($C347,Mapping!$B$7:$B$36,0)),"UNMAPPED ","")&amp;IF(COUNTIFS($C$4:$C347,$C347,$F$4:$F347,$F347,$H$4:$H347,$H347)&gt;1,"DUPLICATE ","")&amp;IF(AND(NOT(ISNA(MATCH($C347,Mapping!$B$7:$B$36,0))),$H347&lt;-'Control Panel'!$E$16),"CREDIT ","")&amp;IF(AND(NOT(ISNA(MATCH($C347,Mapping!$B$7:$B$36,0))),COUNTIFS(Budget!$B$4:$B$107,$B347,Budget!$C$4:$C$107,$D347)=0),"NO BUDGET ",""))</f>
        <v/>
      </c>
      <c r="L347" s="83" t="str">
        <f aca="false">IF($K347="","OK",$K347)</f>
        <v>OK</v>
      </c>
      <c r="M347" s="47" t="str">
        <f aca="false">IF(EXACT($L347,$I347),"ok","CHECK")</f>
        <v>ok</v>
      </c>
    </row>
    <row r="348" customFormat="false" ht="12" hidden="false" customHeight="true" outlineLevel="0" collapsed="false">
      <c r="B348" s="50" t="s">
        <v>151</v>
      </c>
      <c r="C348" s="50" t="s">
        <v>676</v>
      </c>
      <c r="D348" s="79" t="s">
        <v>116</v>
      </c>
      <c r="E348" s="80" t="n">
        <v>46179</v>
      </c>
      <c r="F348" s="50" t="s">
        <v>677</v>
      </c>
      <c r="G348" s="81" t="s">
        <v>678</v>
      </c>
      <c r="H348" s="82" t="n">
        <v>2738.48</v>
      </c>
      <c r="I348" s="37" t="s">
        <v>226</v>
      </c>
      <c r="J348" s="37" t="s">
        <v>77</v>
      </c>
      <c r="K348" s="37" t="str">
        <f aca="false">TRIM(IF($B348="UNASSIGNED","NO COST CENTRE ","")&amp;IF(ISNA(MATCH($C348,Mapping!$B$7:$B$36,0)),"UNMAPPED ","")&amp;IF(COUNTIFS($C$4:$C348,$C348,$F$4:$F348,$F348,$H$4:$H348,$H348)&gt;1,"DUPLICATE ","")&amp;IF(AND(NOT(ISNA(MATCH($C348,Mapping!$B$7:$B$36,0))),$H348&lt;-'Control Panel'!$E$16),"CREDIT ","")&amp;IF(AND(NOT(ISNA(MATCH($C348,Mapping!$B$7:$B$36,0))),COUNTIFS(Budget!$B$4:$B$107,$B348,Budget!$C$4:$C$107,$D348)=0),"NO BUDGET ",""))</f>
        <v/>
      </c>
      <c r="L348" s="83" t="str">
        <f aca="false">IF($K348="","OK",$K348)</f>
        <v>OK</v>
      </c>
      <c r="M348" s="47" t="str">
        <f aca="false">IF(EXACT($L348,$I348),"ok","CHECK")</f>
        <v>ok</v>
      </c>
    </row>
    <row r="349" customFormat="false" ht="12" hidden="false" customHeight="true" outlineLevel="0" collapsed="false">
      <c r="B349" s="50" t="s">
        <v>151</v>
      </c>
      <c r="C349" s="50" t="s">
        <v>241</v>
      </c>
      <c r="D349" s="79" t="s">
        <v>111</v>
      </c>
      <c r="E349" s="80" t="n">
        <v>46180</v>
      </c>
      <c r="F349" s="50" t="s">
        <v>679</v>
      </c>
      <c r="G349" s="81" t="s">
        <v>243</v>
      </c>
      <c r="H349" s="82" t="n">
        <v>1283.01</v>
      </c>
      <c r="I349" s="37" t="s">
        <v>226</v>
      </c>
      <c r="J349" s="37" t="s">
        <v>77</v>
      </c>
      <c r="K349" s="37" t="str">
        <f aca="false">TRIM(IF($B349="UNASSIGNED","NO COST CENTRE ","")&amp;IF(ISNA(MATCH($C349,Mapping!$B$7:$B$36,0)),"UNMAPPED ","")&amp;IF(COUNTIFS($C$4:$C349,$C349,$F$4:$F349,$F349,$H$4:$H349,$H349)&gt;1,"DUPLICATE ","")&amp;IF(AND(NOT(ISNA(MATCH($C349,Mapping!$B$7:$B$36,0))),$H349&lt;-'Control Panel'!$E$16),"CREDIT ","")&amp;IF(AND(NOT(ISNA(MATCH($C349,Mapping!$B$7:$B$36,0))),COUNTIFS(Budget!$B$4:$B$107,$B349,Budget!$C$4:$C$107,$D349)=0),"NO BUDGET ",""))</f>
        <v/>
      </c>
      <c r="L349" s="83" t="str">
        <f aca="false">IF($K349="","OK",$K349)</f>
        <v>OK</v>
      </c>
      <c r="M349" s="47" t="str">
        <f aca="false">IF(EXACT($L349,$I349),"ok","CHECK")</f>
        <v>ok</v>
      </c>
    </row>
    <row r="350" customFormat="false" ht="12" hidden="false" customHeight="true" outlineLevel="0" collapsed="false">
      <c r="B350" s="50" t="s">
        <v>151</v>
      </c>
      <c r="C350" s="50" t="s">
        <v>301</v>
      </c>
      <c r="D350" s="79" t="s">
        <v>122</v>
      </c>
      <c r="E350" s="80" t="n">
        <v>46180</v>
      </c>
      <c r="F350" s="50" t="s">
        <v>680</v>
      </c>
      <c r="G350" s="81" t="s">
        <v>237</v>
      </c>
      <c r="H350" s="82" t="n">
        <v>2043.21</v>
      </c>
      <c r="I350" s="37" t="s">
        <v>226</v>
      </c>
      <c r="J350" s="37" t="s">
        <v>77</v>
      </c>
      <c r="K350" s="37" t="str">
        <f aca="false">TRIM(IF($B350="UNASSIGNED","NO COST CENTRE ","")&amp;IF(ISNA(MATCH($C350,Mapping!$B$7:$B$36,0)),"UNMAPPED ","")&amp;IF(COUNTIFS($C$4:$C350,$C350,$F$4:$F350,$F350,$H$4:$H350,$H350)&gt;1,"DUPLICATE ","")&amp;IF(AND(NOT(ISNA(MATCH($C350,Mapping!$B$7:$B$36,0))),$H350&lt;-'Control Panel'!$E$16),"CREDIT ","")&amp;IF(AND(NOT(ISNA(MATCH($C350,Mapping!$B$7:$B$36,0))),COUNTIFS(Budget!$B$4:$B$107,$B350,Budget!$C$4:$C$107,$D350)=0),"NO BUDGET ",""))</f>
        <v/>
      </c>
      <c r="L350" s="83" t="str">
        <f aca="false">IF($K350="","OK",$K350)</f>
        <v>OK</v>
      </c>
      <c r="M350" s="47" t="str">
        <f aca="false">IF(EXACT($L350,$I350),"ok","CHECK")</f>
        <v>ok</v>
      </c>
    </row>
    <row r="351" customFormat="false" ht="12" hidden="false" customHeight="true" outlineLevel="0" collapsed="false">
      <c r="B351" s="50" t="s">
        <v>151</v>
      </c>
      <c r="C351" s="50" t="s">
        <v>656</v>
      </c>
      <c r="D351" s="79" t="s">
        <v>117</v>
      </c>
      <c r="E351" s="80" t="n">
        <v>46180</v>
      </c>
      <c r="F351" s="50" t="s">
        <v>681</v>
      </c>
      <c r="G351" s="81" t="s">
        <v>682</v>
      </c>
      <c r="H351" s="82" t="n">
        <v>1237.73</v>
      </c>
      <c r="I351" s="37" t="s">
        <v>226</v>
      </c>
      <c r="J351" s="37" t="s">
        <v>77</v>
      </c>
      <c r="K351" s="37" t="str">
        <f aca="false">TRIM(IF($B351="UNASSIGNED","NO COST CENTRE ","")&amp;IF(ISNA(MATCH($C351,Mapping!$B$7:$B$36,0)),"UNMAPPED ","")&amp;IF(COUNTIFS($C$4:$C351,$C351,$F$4:$F351,$F351,$H$4:$H351,$H351)&gt;1,"DUPLICATE ","")&amp;IF(AND(NOT(ISNA(MATCH($C351,Mapping!$B$7:$B$36,0))),$H351&lt;-'Control Panel'!$E$16),"CREDIT ","")&amp;IF(AND(NOT(ISNA(MATCH($C351,Mapping!$B$7:$B$36,0))),COUNTIFS(Budget!$B$4:$B$107,$B351,Budget!$C$4:$C$107,$D351)=0),"NO BUDGET ",""))</f>
        <v/>
      </c>
      <c r="L351" s="83" t="str">
        <f aca="false">IF($K351="","OK",$K351)</f>
        <v>OK</v>
      </c>
      <c r="M351" s="47" t="str">
        <f aca="false">IF(EXACT($L351,$I351),"ok","CHECK")</f>
        <v>ok</v>
      </c>
    </row>
    <row r="352" customFormat="false" ht="12" hidden="false" customHeight="true" outlineLevel="0" collapsed="false">
      <c r="B352" s="50" t="s">
        <v>151</v>
      </c>
      <c r="C352" s="50" t="s">
        <v>219</v>
      </c>
      <c r="D352" s="79" t="s">
        <v>118</v>
      </c>
      <c r="E352" s="80" t="n">
        <v>46181</v>
      </c>
      <c r="F352" s="50" t="s">
        <v>683</v>
      </c>
      <c r="G352" s="81" t="s">
        <v>684</v>
      </c>
      <c r="H352" s="82" t="n">
        <v>894.97</v>
      </c>
      <c r="I352" s="37" t="s">
        <v>226</v>
      </c>
      <c r="J352" s="37" t="s">
        <v>77</v>
      </c>
      <c r="K352" s="37" t="str">
        <f aca="false">TRIM(IF($B352="UNASSIGNED","NO COST CENTRE ","")&amp;IF(ISNA(MATCH($C352,Mapping!$B$7:$B$36,0)),"UNMAPPED ","")&amp;IF(COUNTIFS($C$4:$C352,$C352,$F$4:$F352,$F352,$H$4:$H352,$H352)&gt;1,"DUPLICATE ","")&amp;IF(AND(NOT(ISNA(MATCH($C352,Mapping!$B$7:$B$36,0))),$H352&lt;-'Control Panel'!$E$16),"CREDIT ","")&amp;IF(AND(NOT(ISNA(MATCH($C352,Mapping!$B$7:$B$36,0))),COUNTIFS(Budget!$B$4:$B$107,$B352,Budget!$C$4:$C$107,$D352)=0),"NO BUDGET ",""))</f>
        <v/>
      </c>
      <c r="L352" s="83" t="str">
        <f aca="false">IF($K352="","OK",$K352)</f>
        <v>OK</v>
      </c>
      <c r="M352" s="47" t="str">
        <f aca="false">IF(EXACT($L352,$I352),"ok","CHECK")</f>
        <v>ok</v>
      </c>
    </row>
    <row r="353" customFormat="false" ht="12" hidden="false" customHeight="true" outlineLevel="0" collapsed="false">
      <c r="B353" s="50" t="s">
        <v>151</v>
      </c>
      <c r="C353" s="50" t="s">
        <v>676</v>
      </c>
      <c r="D353" s="79" t="s">
        <v>116</v>
      </c>
      <c r="E353" s="80" t="n">
        <v>46182</v>
      </c>
      <c r="F353" s="50" t="s">
        <v>685</v>
      </c>
      <c r="G353" s="81" t="s">
        <v>678</v>
      </c>
      <c r="H353" s="82" t="n">
        <v>2180.32</v>
      </c>
      <c r="I353" s="37" t="s">
        <v>226</v>
      </c>
      <c r="J353" s="37" t="s">
        <v>77</v>
      </c>
      <c r="K353" s="37" t="str">
        <f aca="false">TRIM(IF($B353="UNASSIGNED","NO COST CENTRE ","")&amp;IF(ISNA(MATCH($C353,Mapping!$B$7:$B$36,0)),"UNMAPPED ","")&amp;IF(COUNTIFS($C$4:$C353,$C353,$F$4:$F353,$F353,$H$4:$H353,$H353)&gt;1,"DUPLICATE ","")&amp;IF(AND(NOT(ISNA(MATCH($C353,Mapping!$B$7:$B$36,0))),$H353&lt;-'Control Panel'!$E$16),"CREDIT ","")&amp;IF(AND(NOT(ISNA(MATCH($C353,Mapping!$B$7:$B$36,0))),COUNTIFS(Budget!$B$4:$B$107,$B353,Budget!$C$4:$C$107,$D353)=0),"NO BUDGET ",""))</f>
        <v/>
      </c>
      <c r="L353" s="83" t="str">
        <f aca="false">IF($K353="","OK",$K353)</f>
        <v>OK</v>
      </c>
      <c r="M353" s="47" t="str">
        <f aca="false">IF(EXACT($L353,$I353),"ok","CHECK")</f>
        <v>ok</v>
      </c>
    </row>
    <row r="354" customFormat="false" ht="12" hidden="false" customHeight="true" outlineLevel="0" collapsed="false">
      <c r="B354" s="50" t="s">
        <v>151</v>
      </c>
      <c r="C354" s="50" t="s">
        <v>289</v>
      </c>
      <c r="D354" s="79" t="s">
        <v>111</v>
      </c>
      <c r="E354" s="80" t="n">
        <v>46182</v>
      </c>
      <c r="F354" s="50" t="s">
        <v>686</v>
      </c>
      <c r="G354" s="81" t="s">
        <v>291</v>
      </c>
      <c r="H354" s="82" t="n">
        <v>1012.59</v>
      </c>
      <c r="I354" s="37" t="s">
        <v>226</v>
      </c>
      <c r="J354" s="37" t="s">
        <v>77</v>
      </c>
      <c r="K354" s="37" t="str">
        <f aca="false">TRIM(IF($B354="UNASSIGNED","NO COST CENTRE ","")&amp;IF(ISNA(MATCH($C354,Mapping!$B$7:$B$36,0)),"UNMAPPED ","")&amp;IF(COUNTIFS($C$4:$C354,$C354,$F$4:$F354,$F354,$H$4:$H354,$H354)&gt;1,"DUPLICATE ","")&amp;IF(AND(NOT(ISNA(MATCH($C354,Mapping!$B$7:$B$36,0))),$H354&lt;-'Control Panel'!$E$16),"CREDIT ","")&amp;IF(AND(NOT(ISNA(MATCH($C354,Mapping!$B$7:$B$36,0))),COUNTIFS(Budget!$B$4:$B$107,$B354,Budget!$C$4:$C$107,$D354)=0),"NO BUDGET ",""))</f>
        <v/>
      </c>
      <c r="L354" s="83" t="str">
        <f aca="false">IF($K354="","OK",$K354)</f>
        <v>OK</v>
      </c>
      <c r="M354" s="47" t="str">
        <f aca="false">IF(EXACT($L354,$I354),"ok","CHECK")</f>
        <v>ok</v>
      </c>
    </row>
    <row r="355" customFormat="false" ht="12" hidden="false" customHeight="true" outlineLevel="0" collapsed="false">
      <c r="B355" s="50" t="s">
        <v>151</v>
      </c>
      <c r="C355" s="50" t="s">
        <v>337</v>
      </c>
      <c r="D355" s="79" t="s">
        <v>109</v>
      </c>
      <c r="E355" s="80" t="n">
        <v>46182</v>
      </c>
      <c r="F355" s="50" t="s">
        <v>687</v>
      </c>
      <c r="G355" s="81" t="s">
        <v>334</v>
      </c>
      <c r="H355" s="82" t="n">
        <v>1695.51</v>
      </c>
      <c r="I355" s="37" t="s">
        <v>226</v>
      </c>
      <c r="J355" s="37" t="s">
        <v>77</v>
      </c>
      <c r="K355" s="37" t="str">
        <f aca="false">TRIM(IF($B355="UNASSIGNED","NO COST CENTRE ","")&amp;IF(ISNA(MATCH($C355,Mapping!$B$7:$B$36,0)),"UNMAPPED ","")&amp;IF(COUNTIFS($C$4:$C355,$C355,$F$4:$F355,$F355,$H$4:$H355,$H355)&gt;1,"DUPLICATE ","")&amp;IF(AND(NOT(ISNA(MATCH($C355,Mapping!$B$7:$B$36,0))),$H355&lt;-'Control Panel'!$E$16),"CREDIT ","")&amp;IF(AND(NOT(ISNA(MATCH($C355,Mapping!$B$7:$B$36,0))),COUNTIFS(Budget!$B$4:$B$107,$B355,Budget!$C$4:$C$107,$D355)=0),"NO BUDGET ",""))</f>
        <v/>
      </c>
      <c r="L355" s="83" t="str">
        <f aca="false">IF($K355="","OK",$K355)</f>
        <v>OK</v>
      </c>
      <c r="M355" s="47" t="str">
        <f aca="false">IF(EXACT($L355,$I355),"ok","CHECK")</f>
        <v>ok</v>
      </c>
    </row>
    <row r="356" customFormat="false" ht="12" hidden="false" customHeight="true" outlineLevel="0" collapsed="false">
      <c r="B356" s="50" t="s">
        <v>151</v>
      </c>
      <c r="C356" s="50" t="s">
        <v>241</v>
      </c>
      <c r="D356" s="79" t="s">
        <v>111</v>
      </c>
      <c r="E356" s="80" t="n">
        <v>46183</v>
      </c>
      <c r="F356" s="50" t="s">
        <v>688</v>
      </c>
      <c r="G356" s="81" t="s">
        <v>291</v>
      </c>
      <c r="H356" s="82" t="n">
        <v>2127.43</v>
      </c>
      <c r="I356" s="37" t="s">
        <v>226</v>
      </c>
      <c r="J356" s="37" t="s">
        <v>77</v>
      </c>
      <c r="K356" s="37" t="str">
        <f aca="false">TRIM(IF($B356="UNASSIGNED","NO COST CENTRE ","")&amp;IF(ISNA(MATCH($C356,Mapping!$B$7:$B$36,0)),"UNMAPPED ","")&amp;IF(COUNTIFS($C$4:$C356,$C356,$F$4:$F356,$F356,$H$4:$H356,$H356)&gt;1,"DUPLICATE ","")&amp;IF(AND(NOT(ISNA(MATCH($C356,Mapping!$B$7:$B$36,0))),$H356&lt;-'Control Panel'!$E$16),"CREDIT ","")&amp;IF(AND(NOT(ISNA(MATCH($C356,Mapping!$B$7:$B$36,0))),COUNTIFS(Budget!$B$4:$B$107,$B356,Budget!$C$4:$C$107,$D356)=0),"NO BUDGET ",""))</f>
        <v/>
      </c>
      <c r="L356" s="83" t="str">
        <f aca="false">IF($K356="","OK",$K356)</f>
        <v>OK</v>
      </c>
      <c r="M356" s="47" t="str">
        <f aca="false">IF(EXACT($L356,$I356),"ok","CHECK")</f>
        <v>ok</v>
      </c>
    </row>
    <row r="357" customFormat="false" ht="12" hidden="false" customHeight="true" outlineLevel="0" collapsed="false">
      <c r="B357" s="50" t="s">
        <v>151</v>
      </c>
      <c r="C357" s="50" t="s">
        <v>241</v>
      </c>
      <c r="D357" s="79" t="s">
        <v>111</v>
      </c>
      <c r="E357" s="80" t="n">
        <v>46183</v>
      </c>
      <c r="F357" s="50" t="s">
        <v>689</v>
      </c>
      <c r="G357" s="81" t="s">
        <v>243</v>
      </c>
      <c r="H357" s="82" t="n">
        <v>1585.13</v>
      </c>
      <c r="I357" s="37" t="s">
        <v>226</v>
      </c>
      <c r="J357" s="37" t="s">
        <v>77</v>
      </c>
      <c r="K357" s="37" t="str">
        <f aca="false">TRIM(IF($B357="UNASSIGNED","NO COST CENTRE ","")&amp;IF(ISNA(MATCH($C357,Mapping!$B$7:$B$36,0)),"UNMAPPED ","")&amp;IF(COUNTIFS($C$4:$C357,$C357,$F$4:$F357,$F357,$H$4:$H357,$H357)&gt;1,"DUPLICATE ","")&amp;IF(AND(NOT(ISNA(MATCH($C357,Mapping!$B$7:$B$36,0))),$H357&lt;-'Control Panel'!$E$16),"CREDIT ","")&amp;IF(AND(NOT(ISNA(MATCH($C357,Mapping!$B$7:$B$36,0))),COUNTIFS(Budget!$B$4:$B$107,$B357,Budget!$C$4:$C$107,$D357)=0),"NO BUDGET ",""))</f>
        <v/>
      </c>
      <c r="L357" s="83" t="str">
        <f aca="false">IF($K357="","OK",$K357)</f>
        <v>OK</v>
      </c>
      <c r="M357" s="47" t="str">
        <f aca="false">IF(EXACT($L357,$I357),"ok","CHECK")</f>
        <v>ok</v>
      </c>
    </row>
    <row r="358" customFormat="false" ht="12" hidden="false" customHeight="true" outlineLevel="0" collapsed="false">
      <c r="B358" s="50" t="s">
        <v>151</v>
      </c>
      <c r="C358" s="50" t="s">
        <v>227</v>
      </c>
      <c r="D358" s="79" t="s">
        <v>112</v>
      </c>
      <c r="E358" s="80" t="n">
        <v>46183</v>
      </c>
      <c r="F358" s="50" t="s">
        <v>690</v>
      </c>
      <c r="G358" s="81" t="s">
        <v>229</v>
      </c>
      <c r="H358" s="82" t="n">
        <v>2692.08</v>
      </c>
      <c r="I358" s="37" t="s">
        <v>226</v>
      </c>
      <c r="J358" s="37" t="s">
        <v>77</v>
      </c>
      <c r="K358" s="37" t="str">
        <f aca="false">TRIM(IF($B358="UNASSIGNED","NO COST CENTRE ","")&amp;IF(ISNA(MATCH($C358,Mapping!$B$7:$B$36,0)),"UNMAPPED ","")&amp;IF(COUNTIFS($C$4:$C358,$C358,$F$4:$F358,$F358,$H$4:$H358,$H358)&gt;1,"DUPLICATE ","")&amp;IF(AND(NOT(ISNA(MATCH($C358,Mapping!$B$7:$B$36,0))),$H358&lt;-'Control Panel'!$E$16),"CREDIT ","")&amp;IF(AND(NOT(ISNA(MATCH($C358,Mapping!$B$7:$B$36,0))),COUNTIFS(Budget!$B$4:$B$107,$B358,Budget!$C$4:$C$107,$D358)=0),"NO BUDGET ",""))</f>
        <v/>
      </c>
      <c r="L358" s="83" t="str">
        <f aca="false">IF($K358="","OK",$K358)</f>
        <v>OK</v>
      </c>
      <c r="M358" s="47" t="str">
        <f aca="false">IF(EXACT($L358,$I358),"ok","CHECK")</f>
        <v>ok</v>
      </c>
    </row>
    <row r="359" customFormat="false" ht="12" hidden="false" customHeight="true" outlineLevel="0" collapsed="false">
      <c r="B359" s="50" t="s">
        <v>151</v>
      </c>
      <c r="C359" s="50" t="s">
        <v>259</v>
      </c>
      <c r="D359" s="79" t="s">
        <v>111</v>
      </c>
      <c r="E359" s="80" t="n">
        <v>46183</v>
      </c>
      <c r="F359" s="50" t="s">
        <v>691</v>
      </c>
      <c r="G359" s="81" t="s">
        <v>318</v>
      </c>
      <c r="H359" s="82" t="n">
        <v>1832.72</v>
      </c>
      <c r="I359" s="37" t="s">
        <v>226</v>
      </c>
      <c r="J359" s="37" t="s">
        <v>77</v>
      </c>
      <c r="K359" s="37" t="str">
        <f aca="false">TRIM(IF($B359="UNASSIGNED","NO COST CENTRE ","")&amp;IF(ISNA(MATCH($C359,Mapping!$B$7:$B$36,0)),"UNMAPPED ","")&amp;IF(COUNTIFS($C$4:$C359,$C359,$F$4:$F359,$F359,$H$4:$H359,$H359)&gt;1,"DUPLICATE ","")&amp;IF(AND(NOT(ISNA(MATCH($C359,Mapping!$B$7:$B$36,0))),$H359&lt;-'Control Panel'!$E$16),"CREDIT ","")&amp;IF(AND(NOT(ISNA(MATCH($C359,Mapping!$B$7:$B$36,0))),COUNTIFS(Budget!$B$4:$B$107,$B359,Budget!$C$4:$C$107,$D359)=0),"NO BUDGET ",""))</f>
        <v/>
      </c>
      <c r="L359" s="83" t="str">
        <f aca="false">IF($K359="","OK",$K359)</f>
        <v>OK</v>
      </c>
      <c r="M359" s="47" t="str">
        <f aca="false">IF(EXACT($L359,$I359),"ok","CHECK")</f>
        <v>ok</v>
      </c>
    </row>
    <row r="360" customFormat="false" ht="12" hidden="false" customHeight="true" outlineLevel="0" collapsed="false">
      <c r="B360" s="50" t="s">
        <v>151</v>
      </c>
      <c r="C360" s="50" t="s">
        <v>238</v>
      </c>
      <c r="D360" s="79" t="s">
        <v>110</v>
      </c>
      <c r="E360" s="80" t="n">
        <v>46184</v>
      </c>
      <c r="F360" s="50" t="s">
        <v>692</v>
      </c>
      <c r="G360" s="81" t="s">
        <v>297</v>
      </c>
      <c r="H360" s="82" t="n">
        <v>1207.24</v>
      </c>
      <c r="I360" s="37" t="s">
        <v>226</v>
      </c>
      <c r="J360" s="37" t="s">
        <v>77</v>
      </c>
      <c r="K360" s="37" t="str">
        <f aca="false">TRIM(IF($B360="UNASSIGNED","NO COST CENTRE ","")&amp;IF(ISNA(MATCH($C360,Mapping!$B$7:$B$36,0)),"UNMAPPED ","")&amp;IF(COUNTIFS($C$4:$C360,$C360,$F$4:$F360,$F360,$H$4:$H360,$H360)&gt;1,"DUPLICATE ","")&amp;IF(AND(NOT(ISNA(MATCH($C360,Mapping!$B$7:$B$36,0))),$H360&lt;-'Control Panel'!$E$16),"CREDIT ","")&amp;IF(AND(NOT(ISNA(MATCH($C360,Mapping!$B$7:$B$36,0))),COUNTIFS(Budget!$B$4:$B$107,$B360,Budget!$C$4:$C$107,$D360)=0),"NO BUDGET ",""))</f>
        <v/>
      </c>
      <c r="L360" s="83" t="str">
        <f aca="false">IF($K360="","OK",$K360)</f>
        <v>OK</v>
      </c>
      <c r="M360" s="47" t="str">
        <f aca="false">IF(EXACT($L360,$I360),"ok","CHECK")</f>
        <v>ok</v>
      </c>
    </row>
    <row r="361" customFormat="false" ht="12" hidden="false" customHeight="true" outlineLevel="0" collapsed="false">
      <c r="B361" s="50" t="s">
        <v>151</v>
      </c>
      <c r="C361" s="50" t="s">
        <v>223</v>
      </c>
      <c r="D361" s="79" t="s">
        <v>113</v>
      </c>
      <c r="E361" s="80" t="n">
        <v>46185</v>
      </c>
      <c r="F361" s="50" t="s">
        <v>693</v>
      </c>
      <c r="G361" s="81" t="s">
        <v>438</v>
      </c>
      <c r="H361" s="82" t="n">
        <v>1919.18</v>
      </c>
      <c r="I361" s="37" t="s">
        <v>226</v>
      </c>
      <c r="J361" s="37" t="s">
        <v>77</v>
      </c>
      <c r="K361" s="37" t="str">
        <f aca="false">TRIM(IF($B361="UNASSIGNED","NO COST CENTRE ","")&amp;IF(ISNA(MATCH($C361,Mapping!$B$7:$B$36,0)),"UNMAPPED ","")&amp;IF(COUNTIFS($C$4:$C361,$C361,$F$4:$F361,$F361,$H$4:$H361,$H361)&gt;1,"DUPLICATE ","")&amp;IF(AND(NOT(ISNA(MATCH($C361,Mapping!$B$7:$B$36,0))),$H361&lt;-'Control Panel'!$E$16),"CREDIT ","")&amp;IF(AND(NOT(ISNA(MATCH($C361,Mapping!$B$7:$B$36,0))),COUNTIFS(Budget!$B$4:$B$107,$B361,Budget!$C$4:$C$107,$D361)=0),"NO BUDGET ",""))</f>
        <v/>
      </c>
      <c r="L361" s="83" t="str">
        <f aca="false">IF($K361="","OK",$K361)</f>
        <v>OK</v>
      </c>
      <c r="M361" s="47" t="str">
        <f aca="false">IF(EXACT($L361,$I361),"ok","CHECK")</f>
        <v>ok</v>
      </c>
    </row>
    <row r="362" customFormat="false" ht="12" hidden="false" customHeight="true" outlineLevel="0" collapsed="false">
      <c r="B362" s="50" t="s">
        <v>151</v>
      </c>
      <c r="C362" s="50" t="s">
        <v>661</v>
      </c>
      <c r="D362" s="79" t="s">
        <v>117</v>
      </c>
      <c r="E362" s="80" t="n">
        <v>46185</v>
      </c>
      <c r="F362" s="50" t="s">
        <v>694</v>
      </c>
      <c r="G362" s="81" t="s">
        <v>675</v>
      </c>
      <c r="H362" s="82" t="n">
        <v>2737.66</v>
      </c>
      <c r="I362" s="37" t="s">
        <v>226</v>
      </c>
      <c r="J362" s="37" t="s">
        <v>77</v>
      </c>
      <c r="K362" s="37" t="str">
        <f aca="false">TRIM(IF($B362="UNASSIGNED","NO COST CENTRE ","")&amp;IF(ISNA(MATCH($C362,Mapping!$B$7:$B$36,0)),"UNMAPPED ","")&amp;IF(COUNTIFS($C$4:$C362,$C362,$F$4:$F362,$F362,$H$4:$H362,$H362)&gt;1,"DUPLICATE ","")&amp;IF(AND(NOT(ISNA(MATCH($C362,Mapping!$B$7:$B$36,0))),$H362&lt;-'Control Panel'!$E$16),"CREDIT ","")&amp;IF(AND(NOT(ISNA(MATCH($C362,Mapping!$B$7:$B$36,0))),COUNTIFS(Budget!$B$4:$B$107,$B362,Budget!$C$4:$C$107,$D362)=0),"NO BUDGET ",""))</f>
        <v/>
      </c>
      <c r="L362" s="83" t="str">
        <f aca="false">IF($K362="","OK",$K362)</f>
        <v>OK</v>
      </c>
      <c r="M362" s="47" t="str">
        <f aca="false">IF(EXACT($L362,$I362),"ok","CHECK")</f>
        <v>ok</v>
      </c>
    </row>
    <row r="363" customFormat="false" ht="12" hidden="false" customHeight="true" outlineLevel="0" collapsed="false">
      <c r="B363" s="50" t="s">
        <v>151</v>
      </c>
      <c r="C363" s="50" t="s">
        <v>695</v>
      </c>
      <c r="D363" s="79" t="s">
        <v>123</v>
      </c>
      <c r="E363" s="80" t="n">
        <v>46185</v>
      </c>
      <c r="F363" s="50" t="s">
        <v>696</v>
      </c>
      <c r="G363" s="81" t="s">
        <v>697</v>
      </c>
      <c r="H363" s="82" t="n">
        <v>2180</v>
      </c>
      <c r="I363" s="65" t="s">
        <v>123</v>
      </c>
      <c r="J363" s="37" t="s">
        <v>77</v>
      </c>
      <c r="K363" s="37" t="str">
        <f aca="false">TRIM(IF($B363="UNASSIGNED","NO COST CENTRE ","")&amp;IF(ISNA(MATCH($C363,Mapping!$B$7:$B$36,0)),"UNMAPPED ","")&amp;IF(COUNTIFS($C$4:$C363,$C363,$F$4:$F363,$F363,$H$4:$H363,$H363)&gt;1,"DUPLICATE ","")&amp;IF(AND(NOT(ISNA(MATCH($C363,Mapping!$B$7:$B$36,0))),$H363&lt;-'Control Panel'!$E$16),"CREDIT ","")&amp;IF(AND(NOT(ISNA(MATCH($C363,Mapping!$B$7:$B$36,0))),COUNTIFS(Budget!$B$4:$B$107,$B363,Budget!$C$4:$C$107,$D363)=0),"NO BUDGET ",""))</f>
        <v>UNMAPPED</v>
      </c>
      <c r="L363" s="83" t="str">
        <f aca="false">IF($K363="","OK",$K363)</f>
        <v>UNMAPPED</v>
      </c>
      <c r="M363" s="47" t="str">
        <f aca="false">IF(EXACT($L363,$I363),"ok","CHECK")</f>
        <v>ok</v>
      </c>
    </row>
    <row r="364" customFormat="false" ht="12" hidden="false" customHeight="true" outlineLevel="0" collapsed="false">
      <c r="B364" s="50" t="s">
        <v>151</v>
      </c>
      <c r="C364" s="50" t="s">
        <v>661</v>
      </c>
      <c r="D364" s="79" t="s">
        <v>117</v>
      </c>
      <c r="E364" s="80" t="n">
        <v>46185</v>
      </c>
      <c r="F364" s="50" t="s">
        <v>698</v>
      </c>
      <c r="G364" s="81" t="s">
        <v>699</v>
      </c>
      <c r="H364" s="82" t="n">
        <v>2583.57</v>
      </c>
      <c r="I364" s="37" t="s">
        <v>226</v>
      </c>
      <c r="J364" s="37" t="s">
        <v>77</v>
      </c>
      <c r="K364" s="37" t="str">
        <f aca="false">TRIM(IF($B364="UNASSIGNED","NO COST CENTRE ","")&amp;IF(ISNA(MATCH($C364,Mapping!$B$7:$B$36,0)),"UNMAPPED ","")&amp;IF(COUNTIFS($C$4:$C364,$C364,$F$4:$F364,$F364,$H$4:$H364,$H364)&gt;1,"DUPLICATE ","")&amp;IF(AND(NOT(ISNA(MATCH($C364,Mapping!$B$7:$B$36,0))),$H364&lt;-'Control Panel'!$E$16),"CREDIT ","")&amp;IF(AND(NOT(ISNA(MATCH($C364,Mapping!$B$7:$B$36,0))),COUNTIFS(Budget!$B$4:$B$107,$B364,Budget!$C$4:$C$107,$D364)=0),"NO BUDGET ",""))</f>
        <v/>
      </c>
      <c r="L364" s="83" t="str">
        <f aca="false">IF($K364="","OK",$K364)</f>
        <v>OK</v>
      </c>
      <c r="M364" s="47" t="str">
        <f aca="false">IF(EXACT($L364,$I364),"ok","CHECK")</f>
        <v>ok</v>
      </c>
    </row>
    <row r="365" customFormat="false" ht="12" hidden="false" customHeight="true" outlineLevel="0" collapsed="false">
      <c r="B365" s="50" t="s">
        <v>151</v>
      </c>
      <c r="C365" s="50" t="s">
        <v>695</v>
      </c>
      <c r="D365" s="79" t="s">
        <v>123</v>
      </c>
      <c r="E365" s="80" t="n">
        <v>46185</v>
      </c>
      <c r="F365" s="50" t="s">
        <v>700</v>
      </c>
      <c r="G365" s="81" t="s">
        <v>701</v>
      </c>
      <c r="H365" s="82" t="n">
        <v>1640.5</v>
      </c>
      <c r="I365" s="65" t="s">
        <v>123</v>
      </c>
      <c r="J365" s="37" t="s">
        <v>77</v>
      </c>
      <c r="K365" s="37" t="str">
        <f aca="false">TRIM(IF($B365="UNASSIGNED","NO COST CENTRE ","")&amp;IF(ISNA(MATCH($C365,Mapping!$B$7:$B$36,0)),"UNMAPPED ","")&amp;IF(COUNTIFS($C$4:$C365,$C365,$F$4:$F365,$F365,$H$4:$H365,$H365)&gt;1,"DUPLICATE ","")&amp;IF(AND(NOT(ISNA(MATCH($C365,Mapping!$B$7:$B$36,0))),$H365&lt;-'Control Panel'!$E$16),"CREDIT ","")&amp;IF(AND(NOT(ISNA(MATCH($C365,Mapping!$B$7:$B$36,0))),COUNTIFS(Budget!$B$4:$B$107,$B365,Budget!$C$4:$C$107,$D365)=0),"NO BUDGET ",""))</f>
        <v>UNMAPPED</v>
      </c>
      <c r="L365" s="83" t="str">
        <f aca="false">IF($K365="","OK",$K365)</f>
        <v>UNMAPPED</v>
      </c>
      <c r="M365" s="47" t="str">
        <f aca="false">IF(EXACT($L365,$I365),"ok","CHECK")</f>
        <v>ok</v>
      </c>
    </row>
    <row r="366" customFormat="false" ht="12" hidden="false" customHeight="true" outlineLevel="0" collapsed="false">
      <c r="B366" s="50" t="s">
        <v>151</v>
      </c>
      <c r="C366" s="50" t="s">
        <v>223</v>
      </c>
      <c r="D366" s="79" t="s">
        <v>113</v>
      </c>
      <c r="E366" s="80" t="n">
        <v>46186</v>
      </c>
      <c r="F366" s="50" t="s">
        <v>702</v>
      </c>
      <c r="G366" s="81" t="s">
        <v>438</v>
      </c>
      <c r="H366" s="82" t="n">
        <v>1182.61</v>
      </c>
      <c r="I366" s="37" t="s">
        <v>226</v>
      </c>
      <c r="J366" s="37" t="s">
        <v>77</v>
      </c>
      <c r="K366" s="37" t="str">
        <f aca="false">TRIM(IF($B366="UNASSIGNED","NO COST CENTRE ","")&amp;IF(ISNA(MATCH($C366,Mapping!$B$7:$B$36,0)),"UNMAPPED ","")&amp;IF(COUNTIFS($C$4:$C366,$C366,$F$4:$F366,$F366,$H$4:$H366,$H366)&gt;1,"DUPLICATE ","")&amp;IF(AND(NOT(ISNA(MATCH($C366,Mapping!$B$7:$B$36,0))),$H366&lt;-'Control Panel'!$E$16),"CREDIT ","")&amp;IF(AND(NOT(ISNA(MATCH($C366,Mapping!$B$7:$B$36,0))),COUNTIFS(Budget!$B$4:$B$107,$B366,Budget!$C$4:$C$107,$D366)=0),"NO BUDGET ",""))</f>
        <v/>
      </c>
      <c r="L366" s="83" t="str">
        <f aca="false">IF($K366="","OK",$K366)</f>
        <v>OK</v>
      </c>
      <c r="M366" s="47" t="str">
        <f aca="false">IF(EXACT($L366,$I366),"ok","CHECK")</f>
        <v>ok</v>
      </c>
    </row>
    <row r="367" customFormat="false" ht="12" hidden="false" customHeight="true" outlineLevel="0" collapsed="false">
      <c r="B367" s="50" t="s">
        <v>151</v>
      </c>
      <c r="C367" s="50" t="s">
        <v>661</v>
      </c>
      <c r="D367" s="79" t="s">
        <v>117</v>
      </c>
      <c r="E367" s="80" t="n">
        <v>46186</v>
      </c>
      <c r="F367" s="50" t="s">
        <v>703</v>
      </c>
      <c r="G367" s="81" t="s">
        <v>682</v>
      </c>
      <c r="H367" s="82" t="n">
        <v>2942.84</v>
      </c>
      <c r="I367" s="37" t="s">
        <v>226</v>
      </c>
      <c r="J367" s="37" t="s">
        <v>77</v>
      </c>
      <c r="K367" s="37" t="str">
        <f aca="false">TRIM(IF($B367="UNASSIGNED","NO COST CENTRE ","")&amp;IF(ISNA(MATCH($C367,Mapping!$B$7:$B$36,0)),"UNMAPPED ","")&amp;IF(COUNTIFS($C$4:$C367,$C367,$F$4:$F367,$F367,$H$4:$H367,$H367)&gt;1,"DUPLICATE ","")&amp;IF(AND(NOT(ISNA(MATCH($C367,Mapping!$B$7:$B$36,0))),$H367&lt;-'Control Panel'!$E$16),"CREDIT ","")&amp;IF(AND(NOT(ISNA(MATCH($C367,Mapping!$B$7:$B$36,0))),COUNTIFS(Budget!$B$4:$B$107,$B367,Budget!$C$4:$C$107,$D367)=0),"NO BUDGET ",""))</f>
        <v/>
      </c>
      <c r="L367" s="83" t="str">
        <f aca="false">IF($K367="","OK",$K367)</f>
        <v>OK</v>
      </c>
      <c r="M367" s="47" t="str">
        <f aca="false">IF(EXACT($L367,$I367),"ok","CHECK")</f>
        <v>ok</v>
      </c>
    </row>
    <row r="368" customFormat="false" ht="12" hidden="false" customHeight="true" outlineLevel="0" collapsed="false">
      <c r="B368" s="50" t="s">
        <v>151</v>
      </c>
      <c r="C368" s="50" t="s">
        <v>247</v>
      </c>
      <c r="D368" s="79" t="s">
        <v>110</v>
      </c>
      <c r="E368" s="80" t="n">
        <v>46189</v>
      </c>
      <c r="F368" s="50" t="s">
        <v>704</v>
      </c>
      <c r="G368" s="81" t="s">
        <v>249</v>
      </c>
      <c r="H368" s="82" t="n">
        <v>1319.69</v>
      </c>
      <c r="I368" s="37" t="s">
        <v>226</v>
      </c>
      <c r="J368" s="37" t="s">
        <v>77</v>
      </c>
      <c r="K368" s="37" t="str">
        <f aca="false">TRIM(IF($B368="UNASSIGNED","NO COST CENTRE ","")&amp;IF(ISNA(MATCH($C368,Mapping!$B$7:$B$36,0)),"UNMAPPED ","")&amp;IF(COUNTIFS($C$4:$C368,$C368,$F$4:$F368,$F368,$H$4:$H368,$H368)&gt;1,"DUPLICATE ","")&amp;IF(AND(NOT(ISNA(MATCH($C368,Mapping!$B$7:$B$36,0))),$H368&lt;-'Control Panel'!$E$16),"CREDIT ","")&amp;IF(AND(NOT(ISNA(MATCH($C368,Mapping!$B$7:$B$36,0))),COUNTIFS(Budget!$B$4:$B$107,$B368,Budget!$C$4:$C$107,$D368)=0),"NO BUDGET ",""))</f>
        <v/>
      </c>
      <c r="L368" s="83" t="str">
        <f aca="false">IF($K368="","OK",$K368)</f>
        <v>OK</v>
      </c>
      <c r="M368" s="47" t="str">
        <f aca="false">IF(EXACT($L368,$I368),"ok","CHECK")</f>
        <v>ok</v>
      </c>
    </row>
    <row r="369" customFormat="false" ht="12" hidden="false" customHeight="true" outlineLevel="0" collapsed="false">
      <c r="B369" s="50" t="s">
        <v>151</v>
      </c>
      <c r="C369" s="50" t="s">
        <v>273</v>
      </c>
      <c r="D369" s="79" t="s">
        <v>114</v>
      </c>
      <c r="E369" s="80" t="n">
        <v>46189</v>
      </c>
      <c r="F369" s="50" t="s">
        <v>705</v>
      </c>
      <c r="G369" s="81" t="s">
        <v>706</v>
      </c>
      <c r="H369" s="82" t="n">
        <v>586.57</v>
      </c>
      <c r="I369" s="37" t="s">
        <v>226</v>
      </c>
      <c r="J369" s="37" t="s">
        <v>77</v>
      </c>
      <c r="K369" s="37" t="str">
        <f aca="false">TRIM(IF($B369="UNASSIGNED","NO COST CENTRE ","")&amp;IF(ISNA(MATCH($C369,Mapping!$B$7:$B$36,0)),"UNMAPPED ","")&amp;IF(COUNTIFS($C$4:$C369,$C369,$F$4:$F369,$F369,$H$4:$H369,$H369)&gt;1,"DUPLICATE ","")&amp;IF(AND(NOT(ISNA(MATCH($C369,Mapping!$B$7:$B$36,0))),$H369&lt;-'Control Panel'!$E$16),"CREDIT ","")&amp;IF(AND(NOT(ISNA(MATCH($C369,Mapping!$B$7:$B$36,0))),COUNTIFS(Budget!$B$4:$B$107,$B369,Budget!$C$4:$C$107,$D369)=0),"NO BUDGET ",""))</f>
        <v/>
      </c>
      <c r="L369" s="83" t="str">
        <f aca="false">IF($K369="","OK",$K369)</f>
        <v>OK</v>
      </c>
      <c r="M369" s="47" t="str">
        <f aca="false">IF(EXACT($L369,$I369),"ok","CHECK")</f>
        <v>ok</v>
      </c>
    </row>
    <row r="370" customFormat="false" ht="12" hidden="false" customHeight="true" outlineLevel="0" collapsed="false">
      <c r="B370" s="50" t="s">
        <v>151</v>
      </c>
      <c r="C370" s="50" t="s">
        <v>244</v>
      </c>
      <c r="D370" s="79" t="s">
        <v>111</v>
      </c>
      <c r="E370" s="80" t="n">
        <v>46190</v>
      </c>
      <c r="F370" s="50" t="s">
        <v>707</v>
      </c>
      <c r="G370" s="81" t="s">
        <v>291</v>
      </c>
      <c r="H370" s="82" t="n">
        <v>1396.99</v>
      </c>
      <c r="I370" s="37" t="s">
        <v>226</v>
      </c>
      <c r="J370" s="37" t="s">
        <v>77</v>
      </c>
      <c r="K370" s="37" t="str">
        <f aca="false">TRIM(IF($B370="UNASSIGNED","NO COST CENTRE ","")&amp;IF(ISNA(MATCH($C370,Mapping!$B$7:$B$36,0)),"UNMAPPED ","")&amp;IF(COUNTIFS($C$4:$C370,$C370,$F$4:$F370,$F370,$H$4:$H370,$H370)&gt;1,"DUPLICATE ","")&amp;IF(AND(NOT(ISNA(MATCH($C370,Mapping!$B$7:$B$36,0))),$H370&lt;-'Control Panel'!$E$16),"CREDIT ","")&amp;IF(AND(NOT(ISNA(MATCH($C370,Mapping!$B$7:$B$36,0))),COUNTIFS(Budget!$B$4:$B$107,$B370,Budget!$C$4:$C$107,$D370)=0),"NO BUDGET ",""))</f>
        <v/>
      </c>
      <c r="L370" s="83" t="str">
        <f aca="false">IF($K370="","OK",$K370)</f>
        <v>OK</v>
      </c>
      <c r="M370" s="47" t="str">
        <f aca="false">IF(EXACT($L370,$I370),"ok","CHECK")</f>
        <v>ok</v>
      </c>
    </row>
    <row r="371" customFormat="false" ht="12" hidden="false" customHeight="true" outlineLevel="0" collapsed="false">
      <c r="B371" s="50" t="s">
        <v>151</v>
      </c>
      <c r="C371" s="50" t="s">
        <v>244</v>
      </c>
      <c r="D371" s="79" t="s">
        <v>111</v>
      </c>
      <c r="E371" s="80" t="n">
        <v>46190</v>
      </c>
      <c r="F371" s="50" t="s">
        <v>708</v>
      </c>
      <c r="G371" s="81" t="s">
        <v>342</v>
      </c>
      <c r="H371" s="82" t="n">
        <v>1114.12</v>
      </c>
      <c r="I371" s="37" t="s">
        <v>226</v>
      </c>
      <c r="J371" s="37" t="s">
        <v>77</v>
      </c>
      <c r="K371" s="37" t="str">
        <f aca="false">TRIM(IF($B371="UNASSIGNED","NO COST CENTRE ","")&amp;IF(ISNA(MATCH($C371,Mapping!$B$7:$B$36,0)),"UNMAPPED ","")&amp;IF(COUNTIFS($C$4:$C371,$C371,$F$4:$F371,$F371,$H$4:$H371,$H371)&gt;1,"DUPLICATE ","")&amp;IF(AND(NOT(ISNA(MATCH($C371,Mapping!$B$7:$B$36,0))),$H371&lt;-'Control Panel'!$E$16),"CREDIT ","")&amp;IF(AND(NOT(ISNA(MATCH($C371,Mapping!$B$7:$B$36,0))),COUNTIFS(Budget!$B$4:$B$107,$B371,Budget!$C$4:$C$107,$D371)=0),"NO BUDGET ",""))</f>
        <v/>
      </c>
      <c r="L371" s="83" t="str">
        <f aca="false">IF($K371="","OK",$K371)</f>
        <v>OK</v>
      </c>
      <c r="M371" s="47" t="str">
        <f aca="false">IF(EXACT($L371,$I371),"ok","CHECK")</f>
        <v>ok</v>
      </c>
    </row>
    <row r="372" customFormat="false" ht="12" hidden="false" customHeight="true" outlineLevel="0" collapsed="false">
      <c r="B372" s="50" t="s">
        <v>151</v>
      </c>
      <c r="C372" s="50" t="s">
        <v>241</v>
      </c>
      <c r="D372" s="79" t="s">
        <v>111</v>
      </c>
      <c r="E372" s="80" t="n">
        <v>46191</v>
      </c>
      <c r="F372" s="50" t="s">
        <v>709</v>
      </c>
      <c r="G372" s="81" t="s">
        <v>288</v>
      </c>
      <c r="H372" s="82" t="n">
        <v>1417.44</v>
      </c>
      <c r="I372" s="37" t="s">
        <v>226</v>
      </c>
      <c r="J372" s="37" t="s">
        <v>77</v>
      </c>
      <c r="K372" s="37" t="str">
        <f aca="false">TRIM(IF($B372="UNASSIGNED","NO COST CENTRE ","")&amp;IF(ISNA(MATCH($C372,Mapping!$B$7:$B$36,0)),"UNMAPPED ","")&amp;IF(COUNTIFS($C$4:$C372,$C372,$F$4:$F372,$F372,$H$4:$H372,$H372)&gt;1,"DUPLICATE ","")&amp;IF(AND(NOT(ISNA(MATCH($C372,Mapping!$B$7:$B$36,0))),$H372&lt;-'Control Panel'!$E$16),"CREDIT ","")&amp;IF(AND(NOT(ISNA(MATCH($C372,Mapping!$B$7:$B$36,0))),COUNTIFS(Budget!$B$4:$B$107,$B372,Budget!$C$4:$C$107,$D372)=0),"NO BUDGET ",""))</f>
        <v/>
      </c>
      <c r="L372" s="83" t="str">
        <f aca="false">IF($K372="","OK",$K372)</f>
        <v>OK</v>
      </c>
      <c r="M372" s="47" t="str">
        <f aca="false">IF(EXACT($L372,$I372),"ok","CHECK")</f>
        <v>ok</v>
      </c>
    </row>
    <row r="373" customFormat="false" ht="12" hidden="false" customHeight="true" outlineLevel="0" collapsed="false">
      <c r="B373" s="50" t="s">
        <v>151</v>
      </c>
      <c r="C373" s="50" t="s">
        <v>661</v>
      </c>
      <c r="D373" s="79" t="s">
        <v>117</v>
      </c>
      <c r="E373" s="80" t="n">
        <v>46191</v>
      </c>
      <c r="F373" s="50" t="s">
        <v>710</v>
      </c>
      <c r="G373" s="81" t="s">
        <v>658</v>
      </c>
      <c r="H373" s="82" t="n">
        <v>1842.66</v>
      </c>
      <c r="I373" s="37" t="s">
        <v>226</v>
      </c>
      <c r="J373" s="37" t="s">
        <v>77</v>
      </c>
      <c r="K373" s="37" t="str">
        <f aca="false">TRIM(IF($B373="UNASSIGNED","NO COST CENTRE ","")&amp;IF(ISNA(MATCH($C373,Mapping!$B$7:$B$36,0)),"UNMAPPED ","")&amp;IF(COUNTIFS($C$4:$C373,$C373,$F$4:$F373,$F373,$H$4:$H373,$H373)&gt;1,"DUPLICATE ","")&amp;IF(AND(NOT(ISNA(MATCH($C373,Mapping!$B$7:$B$36,0))),$H373&lt;-'Control Panel'!$E$16),"CREDIT ","")&amp;IF(AND(NOT(ISNA(MATCH($C373,Mapping!$B$7:$B$36,0))),COUNTIFS(Budget!$B$4:$B$107,$B373,Budget!$C$4:$C$107,$D373)=0),"NO BUDGET ",""))</f>
        <v/>
      </c>
      <c r="L373" s="83" t="str">
        <f aca="false">IF($K373="","OK",$K373)</f>
        <v>OK</v>
      </c>
      <c r="M373" s="47" t="str">
        <f aca="false">IF(EXACT($L373,$I373),"ok","CHECK")</f>
        <v>ok</v>
      </c>
    </row>
    <row r="374" customFormat="false" ht="12" hidden="false" customHeight="true" outlineLevel="0" collapsed="false">
      <c r="B374" s="50" t="s">
        <v>151</v>
      </c>
      <c r="C374" s="50" t="s">
        <v>259</v>
      </c>
      <c r="D374" s="79" t="s">
        <v>111</v>
      </c>
      <c r="E374" s="80" t="n">
        <v>46191</v>
      </c>
      <c r="F374" s="50" t="s">
        <v>711</v>
      </c>
      <c r="G374" s="81" t="s">
        <v>261</v>
      </c>
      <c r="H374" s="82" t="n">
        <v>1286.77</v>
      </c>
      <c r="I374" s="37" t="s">
        <v>226</v>
      </c>
      <c r="J374" s="37" t="s">
        <v>77</v>
      </c>
      <c r="K374" s="37" t="str">
        <f aca="false">TRIM(IF($B374="UNASSIGNED","NO COST CENTRE ","")&amp;IF(ISNA(MATCH($C374,Mapping!$B$7:$B$36,0)),"UNMAPPED ","")&amp;IF(COUNTIFS($C$4:$C374,$C374,$F$4:$F374,$F374,$H$4:$H374,$H374)&gt;1,"DUPLICATE ","")&amp;IF(AND(NOT(ISNA(MATCH($C374,Mapping!$B$7:$B$36,0))),$H374&lt;-'Control Panel'!$E$16),"CREDIT ","")&amp;IF(AND(NOT(ISNA(MATCH($C374,Mapping!$B$7:$B$36,0))),COUNTIFS(Budget!$B$4:$B$107,$B374,Budget!$C$4:$C$107,$D374)=0),"NO BUDGET ",""))</f>
        <v/>
      </c>
      <c r="L374" s="83" t="str">
        <f aca="false">IF($K374="","OK",$K374)</f>
        <v>OK</v>
      </c>
      <c r="M374" s="47" t="str">
        <f aca="false">IF(EXACT($L374,$I374),"ok","CHECK")</f>
        <v>ok</v>
      </c>
    </row>
    <row r="375" customFormat="false" ht="12" hidden="false" customHeight="true" outlineLevel="0" collapsed="false">
      <c r="B375" s="50" t="s">
        <v>151</v>
      </c>
      <c r="C375" s="50" t="s">
        <v>223</v>
      </c>
      <c r="D375" s="79" t="s">
        <v>113</v>
      </c>
      <c r="E375" s="80" t="n">
        <v>46192</v>
      </c>
      <c r="F375" s="50" t="s">
        <v>712</v>
      </c>
      <c r="G375" s="81" t="s">
        <v>459</v>
      </c>
      <c r="H375" s="82" t="n">
        <v>1602.49</v>
      </c>
      <c r="I375" s="37" t="s">
        <v>226</v>
      </c>
      <c r="J375" s="37" t="s">
        <v>77</v>
      </c>
      <c r="K375" s="37" t="str">
        <f aca="false">TRIM(IF($B375="UNASSIGNED","NO COST CENTRE ","")&amp;IF(ISNA(MATCH($C375,Mapping!$B$7:$B$36,0)),"UNMAPPED ","")&amp;IF(COUNTIFS($C$4:$C375,$C375,$F$4:$F375,$F375,$H$4:$H375,$H375)&gt;1,"DUPLICATE ","")&amp;IF(AND(NOT(ISNA(MATCH($C375,Mapping!$B$7:$B$36,0))),$H375&lt;-'Control Panel'!$E$16),"CREDIT ","")&amp;IF(AND(NOT(ISNA(MATCH($C375,Mapping!$B$7:$B$36,0))),COUNTIFS(Budget!$B$4:$B$107,$B375,Budget!$C$4:$C$107,$D375)=0),"NO BUDGET ",""))</f>
        <v/>
      </c>
      <c r="L375" s="83" t="str">
        <f aca="false">IF($K375="","OK",$K375)</f>
        <v>OK</v>
      </c>
      <c r="M375" s="47" t="str">
        <f aca="false">IF(EXACT($L375,$I375),"ok","CHECK")</f>
        <v>ok</v>
      </c>
    </row>
    <row r="376" customFormat="false" ht="12" hidden="false" customHeight="true" outlineLevel="0" collapsed="false">
      <c r="B376" s="50" t="s">
        <v>151</v>
      </c>
      <c r="C376" s="50" t="s">
        <v>230</v>
      </c>
      <c r="D376" s="79" t="s">
        <v>115</v>
      </c>
      <c r="E376" s="80" t="n">
        <v>46194</v>
      </c>
      <c r="F376" s="50" t="s">
        <v>713</v>
      </c>
      <c r="G376" s="81" t="s">
        <v>340</v>
      </c>
      <c r="H376" s="82" t="n">
        <v>961.08</v>
      </c>
      <c r="I376" s="37" t="s">
        <v>226</v>
      </c>
      <c r="J376" s="37" t="s">
        <v>77</v>
      </c>
      <c r="K376" s="37" t="str">
        <f aca="false">TRIM(IF($B376="UNASSIGNED","NO COST CENTRE ","")&amp;IF(ISNA(MATCH($C376,Mapping!$B$7:$B$36,0)),"UNMAPPED ","")&amp;IF(COUNTIFS($C$4:$C376,$C376,$F$4:$F376,$F376,$H$4:$H376,$H376)&gt;1,"DUPLICATE ","")&amp;IF(AND(NOT(ISNA(MATCH($C376,Mapping!$B$7:$B$36,0))),$H376&lt;-'Control Panel'!$E$16),"CREDIT ","")&amp;IF(AND(NOT(ISNA(MATCH($C376,Mapping!$B$7:$B$36,0))),COUNTIFS(Budget!$B$4:$B$107,$B376,Budget!$C$4:$C$107,$D376)=0),"NO BUDGET ",""))</f>
        <v/>
      </c>
      <c r="L376" s="83" t="str">
        <f aca="false">IF($K376="","OK",$K376)</f>
        <v>OK</v>
      </c>
      <c r="M376" s="47" t="str">
        <f aca="false">IF(EXACT($L376,$I376),"ok","CHECK")</f>
        <v>ok</v>
      </c>
    </row>
    <row r="377" customFormat="false" ht="12" hidden="false" customHeight="true" outlineLevel="0" collapsed="false">
      <c r="B377" s="50" t="s">
        <v>151</v>
      </c>
      <c r="C377" s="50" t="s">
        <v>661</v>
      </c>
      <c r="D377" s="79" t="s">
        <v>117</v>
      </c>
      <c r="E377" s="80" t="n">
        <v>46194</v>
      </c>
      <c r="F377" s="50" t="s">
        <v>714</v>
      </c>
      <c r="G377" s="81" t="s">
        <v>673</v>
      </c>
      <c r="H377" s="82" t="n">
        <v>2703.77</v>
      </c>
      <c r="I377" s="37" t="s">
        <v>226</v>
      </c>
      <c r="J377" s="37" t="s">
        <v>77</v>
      </c>
      <c r="K377" s="37" t="str">
        <f aca="false">TRIM(IF($B377="UNASSIGNED","NO COST CENTRE ","")&amp;IF(ISNA(MATCH($C377,Mapping!$B$7:$B$36,0)),"UNMAPPED ","")&amp;IF(COUNTIFS($C$4:$C377,$C377,$F$4:$F377,$F377,$H$4:$H377,$H377)&gt;1,"DUPLICATE ","")&amp;IF(AND(NOT(ISNA(MATCH($C377,Mapping!$B$7:$B$36,0))),$H377&lt;-'Control Panel'!$E$16),"CREDIT ","")&amp;IF(AND(NOT(ISNA(MATCH($C377,Mapping!$B$7:$B$36,0))),COUNTIFS(Budget!$B$4:$B$107,$B377,Budget!$C$4:$C$107,$D377)=0),"NO BUDGET ",""))</f>
        <v/>
      </c>
      <c r="L377" s="83" t="str">
        <f aca="false">IF($K377="","OK",$K377)</f>
        <v>OK</v>
      </c>
      <c r="M377" s="47" t="str">
        <f aca="false">IF(EXACT($L377,$I377),"ok","CHECK")</f>
        <v>ok</v>
      </c>
    </row>
    <row r="378" customFormat="false" ht="12" hidden="false" customHeight="true" outlineLevel="0" collapsed="false">
      <c r="B378" s="50" t="s">
        <v>151</v>
      </c>
      <c r="C378" s="50" t="s">
        <v>266</v>
      </c>
      <c r="D378" s="79" t="s">
        <v>109</v>
      </c>
      <c r="E378" s="80" t="n">
        <v>46195</v>
      </c>
      <c r="F378" s="50" t="s">
        <v>715</v>
      </c>
      <c r="G378" s="81" t="s">
        <v>654</v>
      </c>
      <c r="H378" s="82" t="n">
        <v>1073.81</v>
      </c>
      <c r="I378" s="37" t="s">
        <v>226</v>
      </c>
      <c r="J378" s="37" t="s">
        <v>77</v>
      </c>
      <c r="K378" s="37" t="str">
        <f aca="false">TRIM(IF($B378="UNASSIGNED","NO COST CENTRE ","")&amp;IF(ISNA(MATCH($C378,Mapping!$B$7:$B$36,0)),"UNMAPPED ","")&amp;IF(COUNTIFS($C$4:$C378,$C378,$F$4:$F378,$F378,$H$4:$H378,$H378)&gt;1,"DUPLICATE ","")&amp;IF(AND(NOT(ISNA(MATCH($C378,Mapping!$B$7:$B$36,0))),$H378&lt;-'Control Panel'!$E$16),"CREDIT ","")&amp;IF(AND(NOT(ISNA(MATCH($C378,Mapping!$B$7:$B$36,0))),COUNTIFS(Budget!$B$4:$B$107,$B378,Budget!$C$4:$C$107,$D378)=0),"NO BUDGET ",""))</f>
        <v/>
      </c>
      <c r="L378" s="83" t="str">
        <f aca="false">IF($K378="","OK",$K378)</f>
        <v>OK</v>
      </c>
      <c r="M378" s="47" t="str">
        <f aca="false">IF(EXACT($L378,$I378),"ok","CHECK")</f>
        <v>ok</v>
      </c>
    </row>
    <row r="379" customFormat="false" ht="12" hidden="false" customHeight="true" outlineLevel="0" collapsed="false">
      <c r="B379" s="50" t="s">
        <v>151</v>
      </c>
      <c r="C379" s="50" t="s">
        <v>695</v>
      </c>
      <c r="D379" s="79" t="s">
        <v>123</v>
      </c>
      <c r="E379" s="80" t="n">
        <v>46196</v>
      </c>
      <c r="F379" s="50" t="s">
        <v>716</v>
      </c>
      <c r="G379" s="81" t="s">
        <v>717</v>
      </c>
      <c r="H379" s="82" t="n">
        <v>1035</v>
      </c>
      <c r="I379" s="65" t="s">
        <v>123</v>
      </c>
      <c r="J379" s="37" t="s">
        <v>77</v>
      </c>
      <c r="K379" s="37" t="str">
        <f aca="false">TRIM(IF($B379="UNASSIGNED","NO COST CENTRE ","")&amp;IF(ISNA(MATCH($C379,Mapping!$B$7:$B$36,0)),"UNMAPPED ","")&amp;IF(COUNTIFS($C$4:$C379,$C379,$F$4:$F379,$F379,$H$4:$H379,$H379)&gt;1,"DUPLICATE ","")&amp;IF(AND(NOT(ISNA(MATCH($C379,Mapping!$B$7:$B$36,0))),$H379&lt;-'Control Panel'!$E$16),"CREDIT ","")&amp;IF(AND(NOT(ISNA(MATCH($C379,Mapping!$B$7:$B$36,0))),COUNTIFS(Budget!$B$4:$B$107,$B379,Budget!$C$4:$C$107,$D379)=0),"NO BUDGET ",""))</f>
        <v>UNMAPPED</v>
      </c>
      <c r="L379" s="83" t="str">
        <f aca="false">IF($K379="","OK",$K379)</f>
        <v>UNMAPPED</v>
      </c>
      <c r="M379" s="47" t="str">
        <f aca="false">IF(EXACT($L379,$I379),"ok","CHECK")</f>
        <v>ok</v>
      </c>
    </row>
    <row r="380" customFormat="false" ht="12" hidden="false" customHeight="true" outlineLevel="0" collapsed="false">
      <c r="B380" s="50" t="s">
        <v>151</v>
      </c>
      <c r="C380" s="50" t="s">
        <v>247</v>
      </c>
      <c r="D380" s="79" t="s">
        <v>110</v>
      </c>
      <c r="E380" s="80" t="n">
        <v>46197</v>
      </c>
      <c r="F380" s="50" t="s">
        <v>718</v>
      </c>
      <c r="G380" s="81" t="s">
        <v>240</v>
      </c>
      <c r="H380" s="82" t="n">
        <v>1109.63</v>
      </c>
      <c r="I380" s="37" t="s">
        <v>226</v>
      </c>
      <c r="J380" s="37" t="s">
        <v>77</v>
      </c>
      <c r="K380" s="37" t="str">
        <f aca="false">TRIM(IF($B380="UNASSIGNED","NO COST CENTRE ","")&amp;IF(ISNA(MATCH($C380,Mapping!$B$7:$B$36,0)),"UNMAPPED ","")&amp;IF(COUNTIFS($C$4:$C380,$C380,$F$4:$F380,$F380,$H$4:$H380,$H380)&gt;1,"DUPLICATE ","")&amp;IF(AND(NOT(ISNA(MATCH($C380,Mapping!$B$7:$B$36,0))),$H380&lt;-'Control Panel'!$E$16),"CREDIT ","")&amp;IF(AND(NOT(ISNA(MATCH($C380,Mapping!$B$7:$B$36,0))),COUNTIFS(Budget!$B$4:$B$107,$B380,Budget!$C$4:$C$107,$D380)=0),"NO BUDGET ",""))</f>
        <v/>
      </c>
      <c r="L380" s="83" t="str">
        <f aca="false">IF($K380="","OK",$K380)</f>
        <v>OK</v>
      </c>
      <c r="M380" s="47" t="str">
        <f aca="false">IF(EXACT($L380,$I380),"ok","CHECK")</f>
        <v>ok</v>
      </c>
    </row>
    <row r="381" customFormat="false" ht="12" hidden="false" customHeight="true" outlineLevel="0" collapsed="false">
      <c r="B381" s="50" t="s">
        <v>151</v>
      </c>
      <c r="C381" s="50" t="s">
        <v>289</v>
      </c>
      <c r="D381" s="79" t="s">
        <v>111</v>
      </c>
      <c r="E381" s="80" t="n">
        <v>46197</v>
      </c>
      <c r="F381" s="50" t="s">
        <v>719</v>
      </c>
      <c r="G381" s="81" t="s">
        <v>342</v>
      </c>
      <c r="H381" s="82" t="n">
        <v>884.68</v>
      </c>
      <c r="I381" s="37" t="s">
        <v>226</v>
      </c>
      <c r="J381" s="37" t="s">
        <v>77</v>
      </c>
      <c r="K381" s="37" t="str">
        <f aca="false">TRIM(IF($B381="UNASSIGNED","NO COST CENTRE ","")&amp;IF(ISNA(MATCH($C381,Mapping!$B$7:$B$36,0)),"UNMAPPED ","")&amp;IF(COUNTIFS($C$4:$C381,$C381,$F$4:$F381,$F381,$H$4:$H381,$H381)&gt;1,"DUPLICATE ","")&amp;IF(AND(NOT(ISNA(MATCH($C381,Mapping!$B$7:$B$36,0))),$H381&lt;-'Control Panel'!$E$16),"CREDIT ","")&amp;IF(AND(NOT(ISNA(MATCH($C381,Mapping!$B$7:$B$36,0))),COUNTIFS(Budget!$B$4:$B$107,$B381,Budget!$C$4:$C$107,$D381)=0),"NO BUDGET ",""))</f>
        <v/>
      </c>
      <c r="L381" s="83" t="str">
        <f aca="false">IF($K381="","OK",$K381)</f>
        <v>OK</v>
      </c>
      <c r="M381" s="47" t="str">
        <f aca="false">IF(EXACT($L381,$I381),"ok","CHECK")</f>
        <v>ok</v>
      </c>
    </row>
    <row r="382" customFormat="false" ht="12" hidden="false" customHeight="true" outlineLevel="0" collapsed="false">
      <c r="B382" s="50" t="s">
        <v>151</v>
      </c>
      <c r="C382" s="50" t="s">
        <v>259</v>
      </c>
      <c r="D382" s="79" t="s">
        <v>111</v>
      </c>
      <c r="E382" s="80" t="n">
        <v>46198</v>
      </c>
      <c r="F382" s="50" t="s">
        <v>720</v>
      </c>
      <c r="G382" s="81" t="s">
        <v>291</v>
      </c>
      <c r="H382" s="82" t="n">
        <v>1064.81</v>
      </c>
      <c r="I382" s="37" t="s">
        <v>226</v>
      </c>
      <c r="J382" s="37" t="s">
        <v>77</v>
      </c>
      <c r="K382" s="37" t="str">
        <f aca="false">TRIM(IF($B382="UNASSIGNED","NO COST CENTRE ","")&amp;IF(ISNA(MATCH($C382,Mapping!$B$7:$B$36,0)),"UNMAPPED ","")&amp;IF(COUNTIFS($C$4:$C382,$C382,$F$4:$F382,$F382,$H$4:$H382,$H382)&gt;1,"DUPLICATE ","")&amp;IF(AND(NOT(ISNA(MATCH($C382,Mapping!$B$7:$B$36,0))),$H382&lt;-'Control Panel'!$E$16),"CREDIT ","")&amp;IF(AND(NOT(ISNA(MATCH($C382,Mapping!$B$7:$B$36,0))),COUNTIFS(Budget!$B$4:$B$107,$B382,Budget!$C$4:$C$107,$D382)=0),"NO BUDGET ",""))</f>
        <v/>
      </c>
      <c r="L382" s="83" t="str">
        <f aca="false">IF($K382="","OK",$K382)</f>
        <v>OK</v>
      </c>
      <c r="M382" s="47" t="str">
        <f aca="false">IF(EXACT($L382,$I382),"ok","CHECK")</f>
        <v>ok</v>
      </c>
    </row>
    <row r="383" customFormat="false" ht="12" hidden="false" customHeight="true" outlineLevel="0" collapsed="false">
      <c r="B383" s="50" t="s">
        <v>151</v>
      </c>
      <c r="C383" s="50" t="s">
        <v>661</v>
      </c>
      <c r="D383" s="79" t="s">
        <v>117</v>
      </c>
      <c r="E383" s="80" t="n">
        <v>46198</v>
      </c>
      <c r="F383" s="50" t="s">
        <v>721</v>
      </c>
      <c r="G383" s="81" t="s">
        <v>682</v>
      </c>
      <c r="H383" s="82" t="n">
        <v>1615.68</v>
      </c>
      <c r="I383" s="37" t="s">
        <v>226</v>
      </c>
      <c r="J383" s="37" t="s">
        <v>77</v>
      </c>
      <c r="K383" s="37" t="str">
        <f aca="false">TRIM(IF($B383="UNASSIGNED","NO COST CENTRE ","")&amp;IF(ISNA(MATCH($C383,Mapping!$B$7:$B$36,0)),"UNMAPPED ","")&amp;IF(COUNTIFS($C$4:$C383,$C383,$F$4:$F383,$F383,$H$4:$H383,$H383)&gt;1,"DUPLICATE ","")&amp;IF(AND(NOT(ISNA(MATCH($C383,Mapping!$B$7:$B$36,0))),$H383&lt;-'Control Panel'!$E$16),"CREDIT ","")&amp;IF(AND(NOT(ISNA(MATCH($C383,Mapping!$B$7:$B$36,0))),COUNTIFS(Budget!$B$4:$B$107,$B383,Budget!$C$4:$C$107,$D383)=0),"NO BUDGET ",""))</f>
        <v/>
      </c>
      <c r="L383" s="83" t="str">
        <f aca="false">IF($K383="","OK",$K383)</f>
        <v>OK</v>
      </c>
      <c r="M383" s="47" t="str">
        <f aca="false">IF(EXACT($L383,$I383),"ok","CHECK")</f>
        <v>ok</v>
      </c>
    </row>
    <row r="384" customFormat="false" ht="12" hidden="false" customHeight="true" outlineLevel="0" collapsed="false">
      <c r="B384" s="50" t="s">
        <v>151</v>
      </c>
      <c r="C384" s="50" t="s">
        <v>241</v>
      </c>
      <c r="D384" s="79" t="s">
        <v>111</v>
      </c>
      <c r="E384" s="80" t="n">
        <v>46199</v>
      </c>
      <c r="F384" s="50" t="s">
        <v>722</v>
      </c>
      <c r="G384" s="81" t="s">
        <v>246</v>
      </c>
      <c r="H384" s="82" t="n">
        <v>1211.52</v>
      </c>
      <c r="I384" s="37" t="s">
        <v>226</v>
      </c>
      <c r="J384" s="37" t="s">
        <v>77</v>
      </c>
      <c r="K384" s="37" t="str">
        <f aca="false">TRIM(IF($B384="UNASSIGNED","NO COST CENTRE ","")&amp;IF(ISNA(MATCH($C384,Mapping!$B$7:$B$36,0)),"UNMAPPED ","")&amp;IF(COUNTIFS($C$4:$C384,$C384,$F$4:$F384,$F384,$H$4:$H384,$H384)&gt;1,"DUPLICATE ","")&amp;IF(AND(NOT(ISNA(MATCH($C384,Mapping!$B$7:$B$36,0))),$H384&lt;-'Control Panel'!$E$16),"CREDIT ","")&amp;IF(AND(NOT(ISNA(MATCH($C384,Mapping!$B$7:$B$36,0))),COUNTIFS(Budget!$B$4:$B$107,$B384,Budget!$C$4:$C$107,$D384)=0),"NO BUDGET ",""))</f>
        <v/>
      </c>
      <c r="L384" s="83" t="str">
        <f aca="false">IF($K384="","OK",$K384)</f>
        <v>OK</v>
      </c>
      <c r="M384" s="47" t="str">
        <f aca="false">IF(EXACT($L384,$I384),"ok","CHECK")</f>
        <v>ok</v>
      </c>
    </row>
    <row r="385" customFormat="false" ht="12" hidden="false" customHeight="true" outlineLevel="0" collapsed="false">
      <c r="B385" s="50" t="s">
        <v>151</v>
      </c>
      <c r="C385" s="50" t="s">
        <v>259</v>
      </c>
      <c r="D385" s="79" t="s">
        <v>111</v>
      </c>
      <c r="E385" s="80" t="n">
        <v>46199</v>
      </c>
      <c r="F385" s="50" t="s">
        <v>723</v>
      </c>
      <c r="G385" s="81" t="s">
        <v>342</v>
      </c>
      <c r="H385" s="82" t="n">
        <v>1747.08</v>
      </c>
      <c r="I385" s="37" t="s">
        <v>226</v>
      </c>
      <c r="J385" s="37" t="s">
        <v>77</v>
      </c>
      <c r="K385" s="37" t="str">
        <f aca="false">TRIM(IF($B385="UNASSIGNED","NO COST CENTRE ","")&amp;IF(ISNA(MATCH($C385,Mapping!$B$7:$B$36,0)),"UNMAPPED ","")&amp;IF(COUNTIFS($C$4:$C385,$C385,$F$4:$F385,$F385,$H$4:$H385,$H385)&gt;1,"DUPLICATE ","")&amp;IF(AND(NOT(ISNA(MATCH($C385,Mapping!$B$7:$B$36,0))),$H385&lt;-'Control Panel'!$E$16),"CREDIT ","")&amp;IF(AND(NOT(ISNA(MATCH($C385,Mapping!$B$7:$B$36,0))),COUNTIFS(Budget!$B$4:$B$107,$B385,Budget!$C$4:$C$107,$D385)=0),"NO BUDGET ",""))</f>
        <v/>
      </c>
      <c r="L385" s="83" t="str">
        <f aca="false">IF($K385="","OK",$K385)</f>
        <v>OK</v>
      </c>
      <c r="M385" s="47" t="str">
        <f aca="false">IF(EXACT($L385,$I385),"ok","CHECK")</f>
        <v>ok</v>
      </c>
    </row>
    <row r="386" customFormat="false" ht="12" hidden="false" customHeight="true" outlineLevel="0" collapsed="false">
      <c r="B386" s="50" t="s">
        <v>151</v>
      </c>
      <c r="C386" s="50" t="s">
        <v>656</v>
      </c>
      <c r="D386" s="79" t="s">
        <v>117</v>
      </c>
      <c r="E386" s="80" t="n">
        <v>46200</v>
      </c>
      <c r="F386" s="50" t="s">
        <v>724</v>
      </c>
      <c r="G386" s="81" t="s">
        <v>658</v>
      </c>
      <c r="H386" s="82" t="n">
        <v>2917.76</v>
      </c>
      <c r="I386" s="37" t="s">
        <v>226</v>
      </c>
      <c r="J386" s="37" t="s">
        <v>77</v>
      </c>
      <c r="K386" s="37" t="str">
        <f aca="false">TRIM(IF($B386="UNASSIGNED","NO COST CENTRE ","")&amp;IF(ISNA(MATCH($C386,Mapping!$B$7:$B$36,0)),"UNMAPPED ","")&amp;IF(COUNTIFS($C$4:$C386,$C386,$F$4:$F386,$F386,$H$4:$H386,$H386)&gt;1,"DUPLICATE ","")&amp;IF(AND(NOT(ISNA(MATCH($C386,Mapping!$B$7:$B$36,0))),$H386&lt;-'Control Panel'!$E$16),"CREDIT ","")&amp;IF(AND(NOT(ISNA(MATCH($C386,Mapping!$B$7:$B$36,0))),COUNTIFS(Budget!$B$4:$B$107,$B386,Budget!$C$4:$C$107,$D386)=0),"NO BUDGET ",""))</f>
        <v/>
      </c>
      <c r="L386" s="83" t="str">
        <f aca="false">IF($K386="","OK",$K386)</f>
        <v>OK</v>
      </c>
      <c r="M386" s="47" t="str">
        <f aca="false">IF(EXACT($L386,$I386),"ok","CHECK")</f>
        <v>ok</v>
      </c>
    </row>
    <row r="387" customFormat="false" ht="12" hidden="false" customHeight="true" outlineLevel="0" collapsed="false">
      <c r="B387" s="50" t="s">
        <v>151</v>
      </c>
      <c r="C387" s="50" t="s">
        <v>250</v>
      </c>
      <c r="D387" s="79" t="s">
        <v>115</v>
      </c>
      <c r="E387" s="80" t="n">
        <v>46201</v>
      </c>
      <c r="F387" s="50" t="s">
        <v>725</v>
      </c>
      <c r="G387" s="81" t="s">
        <v>252</v>
      </c>
      <c r="H387" s="82" t="n">
        <v>1417.63</v>
      </c>
      <c r="I387" s="37" t="s">
        <v>226</v>
      </c>
      <c r="J387" s="37" t="s">
        <v>77</v>
      </c>
      <c r="K387" s="37" t="str">
        <f aca="false">TRIM(IF($B387="UNASSIGNED","NO COST CENTRE ","")&amp;IF(ISNA(MATCH($C387,Mapping!$B$7:$B$36,0)),"UNMAPPED ","")&amp;IF(COUNTIFS($C$4:$C387,$C387,$F$4:$F387,$F387,$H$4:$H387,$H387)&gt;1,"DUPLICATE ","")&amp;IF(AND(NOT(ISNA(MATCH($C387,Mapping!$B$7:$B$36,0))),$H387&lt;-'Control Panel'!$E$16),"CREDIT ","")&amp;IF(AND(NOT(ISNA(MATCH($C387,Mapping!$B$7:$B$36,0))),COUNTIFS(Budget!$B$4:$B$107,$B387,Budget!$C$4:$C$107,$D387)=0),"NO BUDGET ",""))</f>
        <v/>
      </c>
      <c r="L387" s="83" t="str">
        <f aca="false">IF($K387="","OK",$K387)</f>
        <v>OK</v>
      </c>
      <c r="M387" s="47" t="str">
        <f aca="false">IF(EXACT($L387,$I387),"ok","CHECK")</f>
        <v>ok</v>
      </c>
    </row>
    <row r="388" customFormat="false" ht="12" hidden="false" customHeight="true" outlineLevel="0" collapsed="false">
      <c r="B388" s="50" t="s">
        <v>151</v>
      </c>
      <c r="C388" s="50" t="s">
        <v>661</v>
      </c>
      <c r="D388" s="79" t="s">
        <v>117</v>
      </c>
      <c r="E388" s="80" t="n">
        <v>46201</v>
      </c>
      <c r="F388" s="50" t="s">
        <v>726</v>
      </c>
      <c r="G388" s="81" t="s">
        <v>699</v>
      </c>
      <c r="H388" s="82" t="n">
        <v>2350.38</v>
      </c>
      <c r="I388" s="37" t="s">
        <v>226</v>
      </c>
      <c r="J388" s="37" t="s">
        <v>77</v>
      </c>
      <c r="K388" s="37" t="str">
        <f aca="false">TRIM(IF($B388="UNASSIGNED","NO COST CENTRE ","")&amp;IF(ISNA(MATCH($C388,Mapping!$B$7:$B$36,0)),"UNMAPPED ","")&amp;IF(COUNTIFS($C$4:$C388,$C388,$F$4:$F388,$F388,$H$4:$H388,$H388)&gt;1,"DUPLICATE ","")&amp;IF(AND(NOT(ISNA(MATCH($C388,Mapping!$B$7:$B$36,0))),$H388&lt;-'Control Panel'!$E$16),"CREDIT ","")&amp;IF(AND(NOT(ISNA(MATCH($C388,Mapping!$B$7:$B$36,0))),COUNTIFS(Budget!$B$4:$B$107,$B388,Budget!$C$4:$C$107,$D388)=0),"NO BUDGET ",""))</f>
        <v/>
      </c>
      <c r="L388" s="83" t="str">
        <f aca="false">IF($K388="","OK",$K388)</f>
        <v>OK</v>
      </c>
      <c r="M388" s="47" t="str">
        <f aca="false">IF(EXACT($L388,$I388),"ok","CHECK")</f>
        <v>ok</v>
      </c>
    </row>
    <row r="389" customFormat="false" ht="12" hidden="false" customHeight="true" outlineLevel="0" collapsed="false">
      <c r="B389" s="50" t="s">
        <v>151</v>
      </c>
      <c r="C389" s="50" t="s">
        <v>656</v>
      </c>
      <c r="D389" s="79" t="s">
        <v>117</v>
      </c>
      <c r="E389" s="80" t="n">
        <v>46201</v>
      </c>
      <c r="F389" s="50" t="s">
        <v>727</v>
      </c>
      <c r="G389" s="81" t="s">
        <v>675</v>
      </c>
      <c r="H389" s="82" t="n">
        <v>1367.22</v>
      </c>
      <c r="I389" s="37" t="s">
        <v>226</v>
      </c>
      <c r="J389" s="37" t="s">
        <v>77</v>
      </c>
      <c r="K389" s="37" t="str">
        <f aca="false">TRIM(IF($B389="UNASSIGNED","NO COST CENTRE ","")&amp;IF(ISNA(MATCH($C389,Mapping!$B$7:$B$36,0)),"UNMAPPED ","")&amp;IF(COUNTIFS($C$4:$C389,$C389,$F$4:$F389,$F389,$H$4:$H389,$H389)&gt;1,"DUPLICATE ","")&amp;IF(AND(NOT(ISNA(MATCH($C389,Mapping!$B$7:$B$36,0))),$H389&lt;-'Control Panel'!$E$16),"CREDIT ","")&amp;IF(AND(NOT(ISNA(MATCH($C389,Mapping!$B$7:$B$36,0))),COUNTIFS(Budget!$B$4:$B$107,$B389,Budget!$C$4:$C$107,$D389)=0),"NO BUDGET ",""))</f>
        <v/>
      </c>
      <c r="L389" s="83" t="str">
        <f aca="false">IF($K389="","OK",$K389)</f>
        <v>OK</v>
      </c>
      <c r="M389" s="47" t="str">
        <f aca="false">IF(EXACT($L389,$I389),"ok","CHECK")</f>
        <v>ok</v>
      </c>
    </row>
    <row r="390" customFormat="false" ht="12" hidden="false" customHeight="true" outlineLevel="0" collapsed="false">
      <c r="B390" s="50" t="s">
        <v>151</v>
      </c>
      <c r="C390" s="50" t="s">
        <v>282</v>
      </c>
      <c r="D390" s="79" t="s">
        <v>112</v>
      </c>
      <c r="E390" s="80" t="n">
        <v>46202</v>
      </c>
      <c r="F390" s="50" t="s">
        <v>728</v>
      </c>
      <c r="G390" s="81" t="s">
        <v>284</v>
      </c>
      <c r="H390" s="82" t="n">
        <v>6057.81</v>
      </c>
      <c r="I390" s="37" t="s">
        <v>226</v>
      </c>
      <c r="J390" s="37" t="s">
        <v>77</v>
      </c>
      <c r="K390" s="37" t="str">
        <f aca="false">TRIM(IF($B390="UNASSIGNED","NO COST CENTRE ","")&amp;IF(ISNA(MATCH($C390,Mapping!$B$7:$B$36,0)),"UNMAPPED ","")&amp;IF(COUNTIFS($C$4:$C390,$C390,$F$4:$F390,$F390,$H$4:$H390,$H390)&gt;1,"DUPLICATE ","")&amp;IF(AND(NOT(ISNA(MATCH($C390,Mapping!$B$7:$B$36,0))),$H390&lt;-'Control Panel'!$E$16),"CREDIT ","")&amp;IF(AND(NOT(ISNA(MATCH($C390,Mapping!$B$7:$B$36,0))),COUNTIFS(Budget!$B$4:$B$107,$B390,Budget!$C$4:$C$107,$D390)=0),"NO BUDGET ",""))</f>
        <v/>
      </c>
      <c r="L390" s="83" t="str">
        <f aca="false">IF($K390="","OK",$K390)</f>
        <v>OK</v>
      </c>
      <c r="M390" s="47" t="str">
        <f aca="false">IF(EXACT($L390,$I390),"ok","CHECK")</f>
        <v>ok</v>
      </c>
    </row>
    <row r="391" customFormat="false" ht="12" hidden="false" customHeight="true" outlineLevel="0" collapsed="false">
      <c r="B391" s="50" t="s">
        <v>151</v>
      </c>
      <c r="C391" s="50" t="s">
        <v>223</v>
      </c>
      <c r="D391" s="79" t="s">
        <v>113</v>
      </c>
      <c r="E391" s="80" t="n">
        <v>46203</v>
      </c>
      <c r="F391" s="50" t="s">
        <v>729</v>
      </c>
      <c r="G391" s="81" t="s">
        <v>405</v>
      </c>
      <c r="H391" s="82" t="n">
        <v>1195.96</v>
      </c>
      <c r="I391" s="37" t="s">
        <v>226</v>
      </c>
      <c r="J391" s="37" t="s">
        <v>77</v>
      </c>
      <c r="K391" s="37" t="str">
        <f aca="false">TRIM(IF($B391="UNASSIGNED","NO COST CENTRE ","")&amp;IF(ISNA(MATCH($C391,Mapping!$B$7:$B$36,0)),"UNMAPPED ","")&amp;IF(COUNTIFS($C$4:$C391,$C391,$F$4:$F391,$F391,$H$4:$H391,$H391)&gt;1,"DUPLICATE ","")&amp;IF(AND(NOT(ISNA(MATCH($C391,Mapping!$B$7:$B$36,0))),$H391&lt;-'Control Panel'!$E$16),"CREDIT ","")&amp;IF(AND(NOT(ISNA(MATCH($C391,Mapping!$B$7:$B$36,0))),COUNTIFS(Budget!$B$4:$B$107,$B391,Budget!$C$4:$C$107,$D391)=0),"NO BUDGET ",""))</f>
        <v/>
      </c>
      <c r="L391" s="83" t="str">
        <f aca="false">IF($K391="","OK",$K391)</f>
        <v>OK</v>
      </c>
      <c r="M391" s="47" t="str">
        <f aca="false">IF(EXACT($L391,$I391),"ok","CHECK")</f>
        <v>ok</v>
      </c>
    </row>
    <row r="392" customFormat="false" ht="12" hidden="false" customHeight="true" outlineLevel="0" collapsed="false">
      <c r="B392" s="50" t="s">
        <v>151</v>
      </c>
      <c r="C392" s="50" t="s">
        <v>661</v>
      </c>
      <c r="D392" s="79" t="s">
        <v>117</v>
      </c>
      <c r="E392" s="80" t="n">
        <v>46203</v>
      </c>
      <c r="F392" s="50" t="s">
        <v>730</v>
      </c>
      <c r="G392" s="81" t="s">
        <v>731</v>
      </c>
      <c r="H392" s="82" t="n">
        <v>2738.43</v>
      </c>
      <c r="I392" s="37" t="s">
        <v>226</v>
      </c>
      <c r="J392" s="37" t="s">
        <v>77</v>
      </c>
      <c r="K392" s="37" t="str">
        <f aca="false">TRIM(IF($B392="UNASSIGNED","NO COST CENTRE ","")&amp;IF(ISNA(MATCH($C392,Mapping!$B$7:$B$36,0)),"UNMAPPED ","")&amp;IF(COUNTIFS($C$4:$C392,$C392,$F$4:$F392,$F392,$H$4:$H392,$H392)&gt;1,"DUPLICATE ","")&amp;IF(AND(NOT(ISNA(MATCH($C392,Mapping!$B$7:$B$36,0))),$H392&lt;-'Control Panel'!$E$16),"CREDIT ","")&amp;IF(AND(NOT(ISNA(MATCH($C392,Mapping!$B$7:$B$36,0))),COUNTIFS(Budget!$B$4:$B$107,$B392,Budget!$C$4:$C$107,$D392)=0),"NO BUDGET ",""))</f>
        <v/>
      </c>
      <c r="L392" s="83" t="str">
        <f aca="false">IF($K392="","OK",$K392)</f>
        <v>OK</v>
      </c>
      <c r="M392" s="47" t="str">
        <f aca="false">IF(EXACT($L392,$I392),"ok","CHECK")</f>
        <v>ok</v>
      </c>
    </row>
    <row r="393" customFormat="false" ht="12" hidden="false" customHeight="true" outlineLevel="0" collapsed="false">
      <c r="B393" s="50" t="s">
        <v>151</v>
      </c>
      <c r="C393" s="50" t="s">
        <v>289</v>
      </c>
      <c r="D393" s="79" t="s">
        <v>111</v>
      </c>
      <c r="E393" s="80" t="n">
        <v>46203</v>
      </c>
      <c r="F393" s="50" t="s">
        <v>732</v>
      </c>
      <c r="G393" s="81" t="s">
        <v>291</v>
      </c>
      <c r="H393" s="82" t="n">
        <v>1883.71</v>
      </c>
      <c r="I393" s="37" t="s">
        <v>226</v>
      </c>
      <c r="J393" s="37" t="s">
        <v>77</v>
      </c>
      <c r="K393" s="37" t="str">
        <f aca="false">TRIM(IF($B393="UNASSIGNED","NO COST CENTRE ","")&amp;IF(ISNA(MATCH($C393,Mapping!$B$7:$B$36,0)),"UNMAPPED ","")&amp;IF(COUNTIFS($C$4:$C393,$C393,$F$4:$F393,$F393,$H$4:$H393,$H393)&gt;1,"DUPLICATE ","")&amp;IF(AND(NOT(ISNA(MATCH($C393,Mapping!$B$7:$B$36,0))),$H393&lt;-'Control Panel'!$E$16),"CREDIT ","")&amp;IF(AND(NOT(ISNA(MATCH($C393,Mapping!$B$7:$B$36,0))),COUNTIFS(Budget!$B$4:$B$107,$B393,Budget!$C$4:$C$107,$D393)=0),"NO BUDGET ",""))</f>
        <v/>
      </c>
      <c r="L393" s="83" t="str">
        <f aca="false">IF($K393="","OK",$K393)</f>
        <v>OK</v>
      </c>
      <c r="M393" s="47" t="str">
        <f aca="false">IF(EXACT($L393,$I393),"ok","CHECK")</f>
        <v>ok</v>
      </c>
    </row>
    <row r="394" customFormat="false" ht="12" hidden="false" customHeight="true" outlineLevel="0" collapsed="false">
      <c r="B394" s="50" t="s">
        <v>152</v>
      </c>
      <c r="C394" s="50" t="s">
        <v>244</v>
      </c>
      <c r="D394" s="79" t="s">
        <v>111</v>
      </c>
      <c r="E394" s="80" t="n">
        <v>46174</v>
      </c>
      <c r="F394" s="50" t="s">
        <v>733</v>
      </c>
      <c r="G394" s="81" t="s">
        <v>342</v>
      </c>
      <c r="H394" s="82" t="n">
        <v>1103.36</v>
      </c>
      <c r="I394" s="37" t="s">
        <v>226</v>
      </c>
      <c r="J394" s="37" t="s">
        <v>77</v>
      </c>
      <c r="K394" s="37" t="str">
        <f aca="false">TRIM(IF($B394="UNASSIGNED","NO COST CENTRE ","")&amp;IF(ISNA(MATCH($C394,Mapping!$B$7:$B$36,0)),"UNMAPPED ","")&amp;IF(COUNTIFS($C$4:$C394,$C394,$F$4:$F394,$F394,$H$4:$H394,$H394)&gt;1,"DUPLICATE ","")&amp;IF(AND(NOT(ISNA(MATCH($C394,Mapping!$B$7:$B$36,0))),$H394&lt;-'Control Panel'!$E$16),"CREDIT ","")&amp;IF(AND(NOT(ISNA(MATCH($C394,Mapping!$B$7:$B$36,0))),COUNTIFS(Budget!$B$4:$B$107,$B394,Budget!$C$4:$C$107,$D394)=0),"NO BUDGET ",""))</f>
        <v/>
      </c>
      <c r="L394" s="83" t="str">
        <f aca="false">IF($K394="","OK",$K394)</f>
        <v>OK</v>
      </c>
      <c r="M394" s="47" t="str">
        <f aca="false">IF(EXACT($L394,$I394),"ok","CHECK")</f>
        <v>ok</v>
      </c>
    </row>
    <row r="395" customFormat="false" ht="12" hidden="false" customHeight="true" outlineLevel="0" collapsed="false">
      <c r="B395" s="50" t="s">
        <v>152</v>
      </c>
      <c r="C395" s="50" t="s">
        <v>524</v>
      </c>
      <c r="D395" s="79" t="s">
        <v>118</v>
      </c>
      <c r="E395" s="80" t="n">
        <v>46175</v>
      </c>
      <c r="F395" s="50" t="s">
        <v>734</v>
      </c>
      <c r="G395" s="81" t="s">
        <v>684</v>
      </c>
      <c r="H395" s="82" t="n">
        <v>1158.21</v>
      </c>
      <c r="I395" s="37" t="s">
        <v>226</v>
      </c>
      <c r="J395" s="37" t="s">
        <v>77</v>
      </c>
      <c r="K395" s="37" t="str">
        <f aca="false">TRIM(IF($B395="UNASSIGNED","NO COST CENTRE ","")&amp;IF(ISNA(MATCH($C395,Mapping!$B$7:$B$36,0)),"UNMAPPED ","")&amp;IF(COUNTIFS($C$4:$C395,$C395,$F$4:$F395,$F395,$H$4:$H395,$H395)&gt;1,"DUPLICATE ","")&amp;IF(AND(NOT(ISNA(MATCH($C395,Mapping!$B$7:$B$36,0))),$H395&lt;-'Control Panel'!$E$16),"CREDIT ","")&amp;IF(AND(NOT(ISNA(MATCH($C395,Mapping!$B$7:$B$36,0))),COUNTIFS(Budget!$B$4:$B$107,$B395,Budget!$C$4:$C$107,$D395)=0),"NO BUDGET ",""))</f>
        <v/>
      </c>
      <c r="L395" s="83" t="str">
        <f aca="false">IF($K395="","OK",$K395)</f>
        <v>OK</v>
      </c>
      <c r="M395" s="47" t="str">
        <f aca="false">IF(EXACT($L395,$I395),"ok","CHECK")</f>
        <v>ok</v>
      </c>
    </row>
    <row r="396" customFormat="false" ht="12" hidden="false" customHeight="true" outlineLevel="0" collapsed="false">
      <c r="B396" s="50" t="s">
        <v>152</v>
      </c>
      <c r="C396" s="50" t="s">
        <v>259</v>
      </c>
      <c r="D396" s="79" t="s">
        <v>111</v>
      </c>
      <c r="E396" s="80" t="n">
        <v>46179</v>
      </c>
      <c r="F396" s="50" t="s">
        <v>735</v>
      </c>
      <c r="G396" s="81" t="s">
        <v>246</v>
      </c>
      <c r="H396" s="82" t="n">
        <v>1286.72</v>
      </c>
      <c r="I396" s="37" t="s">
        <v>226</v>
      </c>
      <c r="J396" s="37" t="s">
        <v>77</v>
      </c>
      <c r="K396" s="37" t="str">
        <f aca="false">TRIM(IF($B396="UNASSIGNED","NO COST CENTRE ","")&amp;IF(ISNA(MATCH($C396,Mapping!$B$7:$B$36,0)),"UNMAPPED ","")&amp;IF(COUNTIFS($C$4:$C396,$C396,$F$4:$F396,$F396,$H$4:$H396,$H396)&gt;1,"DUPLICATE ","")&amp;IF(AND(NOT(ISNA(MATCH($C396,Mapping!$B$7:$B$36,0))),$H396&lt;-'Control Panel'!$E$16),"CREDIT ","")&amp;IF(AND(NOT(ISNA(MATCH($C396,Mapping!$B$7:$B$36,0))),COUNTIFS(Budget!$B$4:$B$107,$B396,Budget!$C$4:$C$107,$D396)=0),"NO BUDGET ",""))</f>
        <v/>
      </c>
      <c r="L396" s="83" t="str">
        <f aca="false">IF($K396="","OK",$K396)</f>
        <v>OK</v>
      </c>
      <c r="M396" s="47" t="str">
        <f aca="false">IF(EXACT($L396,$I396),"ok","CHECK")</f>
        <v>ok</v>
      </c>
    </row>
    <row r="397" customFormat="false" ht="12" hidden="false" customHeight="true" outlineLevel="0" collapsed="false">
      <c r="B397" s="50" t="s">
        <v>152</v>
      </c>
      <c r="C397" s="50" t="s">
        <v>273</v>
      </c>
      <c r="D397" s="79" t="s">
        <v>114</v>
      </c>
      <c r="E397" s="80" t="n">
        <v>46179</v>
      </c>
      <c r="F397" s="50" t="s">
        <v>736</v>
      </c>
      <c r="G397" s="81" t="s">
        <v>737</v>
      </c>
      <c r="H397" s="82" t="n">
        <v>699.11</v>
      </c>
      <c r="I397" s="37" t="s">
        <v>226</v>
      </c>
      <c r="J397" s="37" t="s">
        <v>77</v>
      </c>
      <c r="K397" s="37" t="str">
        <f aca="false">TRIM(IF($B397="UNASSIGNED","NO COST CENTRE ","")&amp;IF(ISNA(MATCH($C397,Mapping!$B$7:$B$36,0)),"UNMAPPED ","")&amp;IF(COUNTIFS($C$4:$C397,$C397,$F$4:$F397,$F397,$H$4:$H397,$H397)&gt;1,"DUPLICATE ","")&amp;IF(AND(NOT(ISNA(MATCH($C397,Mapping!$B$7:$B$36,0))),$H397&lt;-'Control Panel'!$E$16),"CREDIT ","")&amp;IF(AND(NOT(ISNA(MATCH($C397,Mapping!$B$7:$B$36,0))),COUNTIFS(Budget!$B$4:$B$107,$B397,Budget!$C$4:$C$107,$D397)=0),"NO BUDGET ",""))</f>
        <v/>
      </c>
      <c r="L397" s="83" t="str">
        <f aca="false">IF($K397="","OK",$K397)</f>
        <v>OK</v>
      </c>
      <c r="M397" s="47" t="str">
        <f aca="false">IF(EXACT($L397,$I397),"ok","CHECK")</f>
        <v>ok</v>
      </c>
    </row>
    <row r="398" customFormat="false" ht="12" hidden="false" customHeight="true" outlineLevel="0" collapsed="false">
      <c r="B398" s="50" t="s">
        <v>152</v>
      </c>
      <c r="C398" s="50" t="s">
        <v>259</v>
      </c>
      <c r="D398" s="79" t="s">
        <v>111</v>
      </c>
      <c r="E398" s="80" t="n">
        <v>46181</v>
      </c>
      <c r="F398" s="50" t="s">
        <v>738</v>
      </c>
      <c r="G398" s="81" t="s">
        <v>288</v>
      </c>
      <c r="H398" s="82" t="n">
        <v>1837.77</v>
      </c>
      <c r="I398" s="37" t="s">
        <v>226</v>
      </c>
      <c r="J398" s="37" t="s">
        <v>77</v>
      </c>
      <c r="K398" s="37" t="str">
        <f aca="false">TRIM(IF($B398="UNASSIGNED","NO COST CENTRE ","")&amp;IF(ISNA(MATCH($C398,Mapping!$B$7:$B$36,0)),"UNMAPPED ","")&amp;IF(COUNTIFS($C$4:$C398,$C398,$F$4:$F398,$F398,$H$4:$H398,$H398)&gt;1,"DUPLICATE ","")&amp;IF(AND(NOT(ISNA(MATCH($C398,Mapping!$B$7:$B$36,0))),$H398&lt;-'Control Panel'!$E$16),"CREDIT ","")&amp;IF(AND(NOT(ISNA(MATCH($C398,Mapping!$B$7:$B$36,0))),COUNTIFS(Budget!$B$4:$B$107,$B398,Budget!$C$4:$C$107,$D398)=0),"NO BUDGET ",""))</f>
        <v/>
      </c>
      <c r="L398" s="83" t="str">
        <f aca="false">IF($K398="","OK",$K398)</f>
        <v>OK</v>
      </c>
      <c r="M398" s="47" t="str">
        <f aca="false">IF(EXACT($L398,$I398),"ok","CHECK")</f>
        <v>ok</v>
      </c>
    </row>
    <row r="399" customFormat="false" ht="12" hidden="false" customHeight="true" outlineLevel="0" collapsed="false">
      <c r="B399" s="50" t="s">
        <v>152</v>
      </c>
      <c r="C399" s="50" t="s">
        <v>244</v>
      </c>
      <c r="D399" s="79" t="s">
        <v>111</v>
      </c>
      <c r="E399" s="80" t="n">
        <v>46182</v>
      </c>
      <c r="F399" s="50" t="s">
        <v>739</v>
      </c>
      <c r="G399" s="81" t="s">
        <v>246</v>
      </c>
      <c r="H399" s="82" t="n">
        <v>1498.69</v>
      </c>
      <c r="I399" s="37" t="s">
        <v>226</v>
      </c>
      <c r="J399" s="37" t="s">
        <v>77</v>
      </c>
      <c r="K399" s="37" t="str">
        <f aca="false">TRIM(IF($B399="UNASSIGNED","NO COST CENTRE ","")&amp;IF(ISNA(MATCH($C399,Mapping!$B$7:$B$36,0)),"UNMAPPED ","")&amp;IF(COUNTIFS($C$4:$C399,$C399,$F$4:$F399,$F399,$H$4:$H399,$H399)&gt;1,"DUPLICATE ","")&amp;IF(AND(NOT(ISNA(MATCH($C399,Mapping!$B$7:$B$36,0))),$H399&lt;-'Control Panel'!$E$16),"CREDIT ","")&amp;IF(AND(NOT(ISNA(MATCH($C399,Mapping!$B$7:$B$36,0))),COUNTIFS(Budget!$B$4:$B$107,$B399,Budget!$C$4:$C$107,$D399)=0),"NO BUDGET ",""))</f>
        <v/>
      </c>
      <c r="L399" s="83" t="str">
        <f aca="false">IF($K399="","OK",$K399)</f>
        <v>OK</v>
      </c>
      <c r="M399" s="47" t="str">
        <f aca="false">IF(EXACT($L399,$I399),"ok","CHECK")</f>
        <v>ok</v>
      </c>
    </row>
    <row r="400" customFormat="false" ht="12" hidden="false" customHeight="true" outlineLevel="0" collapsed="false">
      <c r="B400" s="50" t="s">
        <v>152</v>
      </c>
      <c r="C400" s="50" t="s">
        <v>235</v>
      </c>
      <c r="D400" s="79" t="s">
        <v>122</v>
      </c>
      <c r="E400" s="80" t="n">
        <v>46182</v>
      </c>
      <c r="F400" s="50" t="s">
        <v>740</v>
      </c>
      <c r="G400" s="81" t="s">
        <v>237</v>
      </c>
      <c r="H400" s="82" t="n">
        <v>813.09</v>
      </c>
      <c r="I400" s="37" t="s">
        <v>226</v>
      </c>
      <c r="J400" s="37" t="s">
        <v>77</v>
      </c>
      <c r="K400" s="37" t="str">
        <f aca="false">TRIM(IF($B400="UNASSIGNED","NO COST CENTRE ","")&amp;IF(ISNA(MATCH($C400,Mapping!$B$7:$B$36,0)),"UNMAPPED ","")&amp;IF(COUNTIFS($C$4:$C400,$C400,$F$4:$F400,$F400,$H$4:$H400,$H400)&gt;1,"DUPLICATE ","")&amp;IF(AND(NOT(ISNA(MATCH($C400,Mapping!$B$7:$B$36,0))),$H400&lt;-'Control Panel'!$E$16),"CREDIT ","")&amp;IF(AND(NOT(ISNA(MATCH($C400,Mapping!$B$7:$B$36,0))),COUNTIFS(Budget!$B$4:$B$107,$B400,Budget!$C$4:$C$107,$D400)=0),"NO BUDGET ",""))</f>
        <v/>
      </c>
      <c r="L400" s="83" t="str">
        <f aca="false">IF($K400="","OK",$K400)</f>
        <v>OK</v>
      </c>
      <c r="M400" s="47" t="str">
        <f aca="false">IF(EXACT($L400,$I400),"ok","CHECK")</f>
        <v>ok</v>
      </c>
    </row>
    <row r="401" customFormat="false" ht="12" hidden="false" customHeight="true" outlineLevel="0" collapsed="false">
      <c r="B401" s="50" t="s">
        <v>152</v>
      </c>
      <c r="C401" s="50" t="s">
        <v>289</v>
      </c>
      <c r="D401" s="79" t="s">
        <v>111</v>
      </c>
      <c r="E401" s="80" t="n">
        <v>46185</v>
      </c>
      <c r="F401" s="50" t="s">
        <v>741</v>
      </c>
      <c r="G401" s="81" t="s">
        <v>360</v>
      </c>
      <c r="H401" s="82" t="n">
        <v>1079.65</v>
      </c>
      <c r="I401" s="37" t="s">
        <v>226</v>
      </c>
      <c r="J401" s="37" t="s">
        <v>77</v>
      </c>
      <c r="K401" s="37" t="str">
        <f aca="false">TRIM(IF($B401="UNASSIGNED","NO COST CENTRE ","")&amp;IF(ISNA(MATCH($C401,Mapping!$B$7:$B$36,0)),"UNMAPPED ","")&amp;IF(COUNTIFS($C$4:$C401,$C401,$F$4:$F401,$F401,$H$4:$H401,$H401)&gt;1,"DUPLICATE ","")&amp;IF(AND(NOT(ISNA(MATCH($C401,Mapping!$B$7:$B$36,0))),$H401&lt;-'Control Panel'!$E$16),"CREDIT ","")&amp;IF(AND(NOT(ISNA(MATCH($C401,Mapping!$B$7:$B$36,0))),COUNTIFS(Budget!$B$4:$B$107,$B401,Budget!$C$4:$C$107,$D401)=0),"NO BUDGET ",""))</f>
        <v/>
      </c>
      <c r="L401" s="83" t="str">
        <f aca="false">IF($K401="","OK",$K401)</f>
        <v>OK</v>
      </c>
      <c r="M401" s="47" t="str">
        <f aca="false">IF(EXACT($L401,$I401),"ok","CHECK")</f>
        <v>ok</v>
      </c>
    </row>
    <row r="402" customFormat="false" ht="12" hidden="false" customHeight="true" outlineLevel="0" collapsed="false">
      <c r="B402" s="50" t="s">
        <v>152</v>
      </c>
      <c r="C402" s="50" t="s">
        <v>289</v>
      </c>
      <c r="D402" s="79" t="s">
        <v>111</v>
      </c>
      <c r="E402" s="80" t="n">
        <v>46188</v>
      </c>
      <c r="F402" s="50" t="s">
        <v>742</v>
      </c>
      <c r="G402" s="81" t="s">
        <v>246</v>
      </c>
      <c r="H402" s="82" t="n">
        <v>1279.36</v>
      </c>
      <c r="I402" s="37" t="s">
        <v>226</v>
      </c>
      <c r="J402" s="37" t="s">
        <v>77</v>
      </c>
      <c r="K402" s="37" t="str">
        <f aca="false">TRIM(IF($B402="UNASSIGNED","NO COST CENTRE ","")&amp;IF(ISNA(MATCH($C402,Mapping!$B$7:$B$36,0)),"UNMAPPED ","")&amp;IF(COUNTIFS($C$4:$C402,$C402,$F$4:$F402,$F402,$H$4:$H402,$H402)&gt;1,"DUPLICATE ","")&amp;IF(AND(NOT(ISNA(MATCH($C402,Mapping!$B$7:$B$36,0))),$H402&lt;-'Control Panel'!$E$16),"CREDIT ","")&amp;IF(AND(NOT(ISNA(MATCH($C402,Mapping!$B$7:$B$36,0))),COUNTIFS(Budget!$B$4:$B$107,$B402,Budget!$C$4:$C$107,$D402)=0),"NO BUDGET ",""))</f>
        <v/>
      </c>
      <c r="L402" s="83" t="str">
        <f aca="false">IF($K402="","OK",$K402)</f>
        <v>OK</v>
      </c>
      <c r="M402" s="47" t="str">
        <f aca="false">IF(EXACT($L402,$I402),"ok","CHECK")</f>
        <v>ok</v>
      </c>
    </row>
    <row r="403" customFormat="false" ht="12" hidden="false" customHeight="true" outlineLevel="0" collapsed="false">
      <c r="B403" s="50" t="s">
        <v>152</v>
      </c>
      <c r="C403" s="50" t="s">
        <v>282</v>
      </c>
      <c r="D403" s="79" t="s">
        <v>112</v>
      </c>
      <c r="E403" s="80" t="n">
        <v>46191</v>
      </c>
      <c r="F403" s="50" t="s">
        <v>743</v>
      </c>
      <c r="G403" s="81" t="s">
        <v>392</v>
      </c>
      <c r="H403" s="82" t="n">
        <v>1616.42</v>
      </c>
      <c r="I403" s="37" t="s">
        <v>226</v>
      </c>
      <c r="J403" s="37" t="s">
        <v>77</v>
      </c>
      <c r="K403" s="37" t="str">
        <f aca="false">TRIM(IF($B403="UNASSIGNED","NO COST CENTRE ","")&amp;IF(ISNA(MATCH($C403,Mapping!$B$7:$B$36,0)),"UNMAPPED ","")&amp;IF(COUNTIFS($C$4:$C403,$C403,$F$4:$F403,$F403,$H$4:$H403,$H403)&gt;1,"DUPLICATE ","")&amp;IF(AND(NOT(ISNA(MATCH($C403,Mapping!$B$7:$B$36,0))),$H403&lt;-'Control Panel'!$E$16),"CREDIT ","")&amp;IF(AND(NOT(ISNA(MATCH($C403,Mapping!$B$7:$B$36,0))),COUNTIFS(Budget!$B$4:$B$107,$B403,Budget!$C$4:$C$107,$D403)=0),"NO BUDGET ",""))</f>
        <v/>
      </c>
      <c r="L403" s="83" t="str">
        <f aca="false">IF($K403="","OK",$K403)</f>
        <v>OK</v>
      </c>
      <c r="M403" s="47" t="str">
        <f aca="false">IF(EXACT($L403,$I403),"ok","CHECK")</f>
        <v>ok</v>
      </c>
    </row>
    <row r="404" customFormat="false" ht="12" hidden="false" customHeight="true" outlineLevel="0" collapsed="false">
      <c r="B404" s="50" t="s">
        <v>152</v>
      </c>
      <c r="C404" s="50" t="s">
        <v>279</v>
      </c>
      <c r="D404" s="79" t="s">
        <v>118</v>
      </c>
      <c r="E404" s="80" t="n">
        <v>46191</v>
      </c>
      <c r="F404" s="50" t="s">
        <v>744</v>
      </c>
      <c r="G404" s="81" t="s">
        <v>684</v>
      </c>
      <c r="H404" s="82" t="n">
        <v>1294.64</v>
      </c>
      <c r="I404" s="37" t="s">
        <v>226</v>
      </c>
      <c r="J404" s="37" t="s">
        <v>77</v>
      </c>
      <c r="K404" s="37" t="str">
        <f aca="false">TRIM(IF($B404="UNASSIGNED","NO COST CENTRE ","")&amp;IF(ISNA(MATCH($C404,Mapping!$B$7:$B$36,0)),"UNMAPPED ","")&amp;IF(COUNTIFS($C$4:$C404,$C404,$F$4:$F404,$F404,$H$4:$H404,$H404)&gt;1,"DUPLICATE ","")&amp;IF(AND(NOT(ISNA(MATCH($C404,Mapping!$B$7:$B$36,0))),$H404&lt;-'Control Panel'!$E$16),"CREDIT ","")&amp;IF(AND(NOT(ISNA(MATCH($C404,Mapping!$B$7:$B$36,0))),COUNTIFS(Budget!$B$4:$B$107,$B404,Budget!$C$4:$C$107,$D404)=0),"NO BUDGET ",""))</f>
        <v/>
      </c>
      <c r="L404" s="83" t="str">
        <f aca="false">IF($K404="","OK",$K404)</f>
        <v>OK</v>
      </c>
      <c r="M404" s="47" t="str">
        <f aca="false">IF(EXACT($L404,$I404),"ok","CHECK")</f>
        <v>ok</v>
      </c>
    </row>
    <row r="405" customFormat="false" ht="12" hidden="false" customHeight="true" outlineLevel="0" collapsed="false">
      <c r="B405" s="50" t="s">
        <v>152</v>
      </c>
      <c r="C405" s="50" t="s">
        <v>255</v>
      </c>
      <c r="D405" s="79" t="s">
        <v>120</v>
      </c>
      <c r="E405" s="80" t="n">
        <v>46194</v>
      </c>
      <c r="F405" s="50" t="s">
        <v>745</v>
      </c>
      <c r="G405" s="81" t="s">
        <v>746</v>
      </c>
      <c r="H405" s="82" t="n">
        <v>500.55</v>
      </c>
      <c r="I405" s="37" t="s">
        <v>226</v>
      </c>
      <c r="J405" s="37" t="s">
        <v>77</v>
      </c>
      <c r="K405" s="37" t="str">
        <f aca="false">TRIM(IF($B405="UNASSIGNED","NO COST CENTRE ","")&amp;IF(ISNA(MATCH($C405,Mapping!$B$7:$B$36,0)),"UNMAPPED ","")&amp;IF(COUNTIFS($C$4:$C405,$C405,$F$4:$F405,$F405,$H$4:$H405,$H405)&gt;1,"DUPLICATE ","")&amp;IF(AND(NOT(ISNA(MATCH($C405,Mapping!$B$7:$B$36,0))),$H405&lt;-'Control Panel'!$E$16),"CREDIT ","")&amp;IF(AND(NOT(ISNA(MATCH($C405,Mapping!$B$7:$B$36,0))),COUNTIFS(Budget!$B$4:$B$107,$B405,Budget!$C$4:$C$107,$D405)=0),"NO BUDGET ",""))</f>
        <v/>
      </c>
      <c r="L405" s="83" t="str">
        <f aca="false">IF($K405="","OK",$K405)</f>
        <v>OK</v>
      </c>
      <c r="M405" s="47" t="str">
        <f aca="false">IF(EXACT($L405,$I405),"ok","CHECK")</f>
        <v>ok</v>
      </c>
    </row>
    <row r="406" customFormat="false" ht="12" hidden="false" customHeight="true" outlineLevel="0" collapsed="false">
      <c r="B406" s="50" t="s">
        <v>152</v>
      </c>
      <c r="C406" s="50" t="s">
        <v>241</v>
      </c>
      <c r="D406" s="79" t="s">
        <v>111</v>
      </c>
      <c r="E406" s="80" t="n">
        <v>46197</v>
      </c>
      <c r="F406" s="50" t="s">
        <v>747</v>
      </c>
      <c r="G406" s="81" t="s">
        <v>342</v>
      </c>
      <c r="H406" s="82" t="n">
        <v>1809.44</v>
      </c>
      <c r="I406" s="37" t="s">
        <v>226</v>
      </c>
      <c r="J406" s="37" t="s">
        <v>77</v>
      </c>
      <c r="K406" s="37" t="str">
        <f aca="false">TRIM(IF($B406="UNASSIGNED","NO COST CENTRE ","")&amp;IF(ISNA(MATCH($C406,Mapping!$B$7:$B$36,0)),"UNMAPPED ","")&amp;IF(COUNTIFS($C$4:$C406,$C406,$F$4:$F406,$F406,$H$4:$H406,$H406)&gt;1,"DUPLICATE ","")&amp;IF(AND(NOT(ISNA(MATCH($C406,Mapping!$B$7:$B$36,0))),$H406&lt;-'Control Panel'!$E$16),"CREDIT ","")&amp;IF(AND(NOT(ISNA(MATCH($C406,Mapping!$B$7:$B$36,0))),COUNTIFS(Budget!$B$4:$B$107,$B406,Budget!$C$4:$C$107,$D406)=0),"NO BUDGET ",""))</f>
        <v/>
      </c>
      <c r="L406" s="83" t="str">
        <f aca="false">IF($K406="","OK",$K406)</f>
        <v>OK</v>
      </c>
      <c r="M406" s="47" t="str">
        <f aca="false">IF(EXACT($L406,$I406),"ok","CHECK")</f>
        <v>ok</v>
      </c>
    </row>
    <row r="407" customFormat="false" ht="12" hidden="false" customHeight="true" outlineLevel="0" collapsed="false">
      <c r="B407" s="50" t="s">
        <v>152</v>
      </c>
      <c r="C407" s="50" t="s">
        <v>244</v>
      </c>
      <c r="D407" s="79" t="s">
        <v>111</v>
      </c>
      <c r="E407" s="80" t="n">
        <v>46198</v>
      </c>
      <c r="F407" s="50" t="s">
        <v>748</v>
      </c>
      <c r="G407" s="81" t="s">
        <v>246</v>
      </c>
      <c r="H407" s="82" t="n">
        <v>1670.85</v>
      </c>
      <c r="I407" s="37" t="s">
        <v>226</v>
      </c>
      <c r="J407" s="37" t="s">
        <v>77</v>
      </c>
      <c r="K407" s="37" t="str">
        <f aca="false">TRIM(IF($B407="UNASSIGNED","NO COST CENTRE ","")&amp;IF(ISNA(MATCH($C407,Mapping!$B$7:$B$36,0)),"UNMAPPED ","")&amp;IF(COUNTIFS($C$4:$C407,$C407,$F$4:$F407,$F407,$H$4:$H407,$H407)&gt;1,"DUPLICATE ","")&amp;IF(AND(NOT(ISNA(MATCH($C407,Mapping!$B$7:$B$36,0))),$H407&lt;-'Control Panel'!$E$16),"CREDIT ","")&amp;IF(AND(NOT(ISNA(MATCH($C407,Mapping!$B$7:$B$36,0))),COUNTIFS(Budget!$B$4:$B$107,$B407,Budget!$C$4:$C$107,$D407)=0),"NO BUDGET ",""))</f>
        <v/>
      </c>
      <c r="L407" s="83" t="str">
        <f aca="false">IF($K407="","OK",$K407)</f>
        <v>OK</v>
      </c>
      <c r="M407" s="47" t="str">
        <f aca="false">IF(EXACT($L407,$I407),"ok","CHECK")</f>
        <v>ok</v>
      </c>
    </row>
    <row r="408" customFormat="false" ht="12" hidden="false" customHeight="true" outlineLevel="0" collapsed="false">
      <c r="B408" s="50" t="s">
        <v>152</v>
      </c>
      <c r="C408" s="50" t="s">
        <v>241</v>
      </c>
      <c r="D408" s="79" t="s">
        <v>111</v>
      </c>
      <c r="E408" s="80" t="n">
        <v>46200</v>
      </c>
      <c r="F408" s="50" t="s">
        <v>749</v>
      </c>
      <c r="G408" s="81" t="s">
        <v>288</v>
      </c>
      <c r="H408" s="82" t="n">
        <v>1414.96</v>
      </c>
      <c r="I408" s="37" t="s">
        <v>226</v>
      </c>
      <c r="J408" s="37" t="s">
        <v>77</v>
      </c>
      <c r="K408" s="37" t="str">
        <f aca="false">TRIM(IF($B408="UNASSIGNED","NO COST CENTRE ","")&amp;IF(ISNA(MATCH($C408,Mapping!$B$7:$B$36,0)),"UNMAPPED ","")&amp;IF(COUNTIFS($C$4:$C408,$C408,$F$4:$F408,$F408,$H$4:$H408,$H408)&gt;1,"DUPLICATE ","")&amp;IF(AND(NOT(ISNA(MATCH($C408,Mapping!$B$7:$B$36,0))),$H408&lt;-'Control Panel'!$E$16),"CREDIT ","")&amp;IF(AND(NOT(ISNA(MATCH($C408,Mapping!$B$7:$B$36,0))),COUNTIFS(Budget!$B$4:$B$107,$B408,Budget!$C$4:$C$107,$D408)=0),"NO BUDGET ",""))</f>
        <v/>
      </c>
      <c r="L408" s="83" t="str">
        <f aca="false">IF($K408="","OK",$K408)</f>
        <v>OK</v>
      </c>
      <c r="M408" s="47" t="str">
        <f aca="false">IF(EXACT($L408,$I408),"ok","CHECK")</f>
        <v>ok</v>
      </c>
    </row>
    <row r="409" customFormat="false" ht="12" hidden="false" customHeight="true" outlineLevel="0" collapsed="false">
      <c r="B409" s="50" t="s">
        <v>152</v>
      </c>
      <c r="C409" s="50" t="s">
        <v>282</v>
      </c>
      <c r="D409" s="79" t="s">
        <v>112</v>
      </c>
      <c r="E409" s="80" t="n">
        <v>46200</v>
      </c>
      <c r="F409" s="50" t="s">
        <v>750</v>
      </c>
      <c r="G409" s="81" t="s">
        <v>284</v>
      </c>
      <c r="H409" s="82" t="n">
        <v>3445.02</v>
      </c>
      <c r="I409" s="37" t="s">
        <v>226</v>
      </c>
      <c r="J409" s="37" t="s">
        <v>77</v>
      </c>
      <c r="K409" s="37" t="str">
        <f aca="false">TRIM(IF($B409="UNASSIGNED","NO COST CENTRE ","")&amp;IF(ISNA(MATCH($C409,Mapping!$B$7:$B$36,0)),"UNMAPPED ","")&amp;IF(COUNTIFS($C$4:$C409,$C409,$F$4:$F409,$F409,$H$4:$H409,$H409)&gt;1,"DUPLICATE ","")&amp;IF(AND(NOT(ISNA(MATCH($C409,Mapping!$B$7:$B$36,0))),$H409&lt;-'Control Panel'!$E$16),"CREDIT ","")&amp;IF(AND(NOT(ISNA(MATCH($C409,Mapping!$B$7:$B$36,0))),COUNTIFS(Budget!$B$4:$B$107,$B409,Budget!$C$4:$C$107,$D409)=0),"NO BUDGET ",""))</f>
        <v/>
      </c>
      <c r="L409" s="83" t="str">
        <f aca="false">IF($K409="","OK",$K409)</f>
        <v>OK</v>
      </c>
      <c r="M409" s="47" t="str">
        <f aca="false">IF(EXACT($L409,$I409),"ok","CHECK")</f>
        <v>ok</v>
      </c>
    </row>
    <row r="410" customFormat="false" ht="12" hidden="false" customHeight="true" outlineLevel="0" collapsed="false">
      <c r="B410" s="50" t="s">
        <v>153</v>
      </c>
      <c r="C410" s="50" t="s">
        <v>305</v>
      </c>
      <c r="D410" s="79" t="s">
        <v>115</v>
      </c>
      <c r="E410" s="80" t="n">
        <v>46174</v>
      </c>
      <c r="F410" s="50" t="s">
        <v>751</v>
      </c>
      <c r="G410" s="81" t="s">
        <v>403</v>
      </c>
      <c r="H410" s="82" t="n">
        <v>1222.85</v>
      </c>
      <c r="I410" s="37" t="s">
        <v>226</v>
      </c>
      <c r="J410" s="37" t="s">
        <v>77</v>
      </c>
      <c r="K410" s="37" t="str">
        <f aca="false">TRIM(IF($B410="UNASSIGNED","NO COST CENTRE ","")&amp;IF(ISNA(MATCH($C410,Mapping!$B$7:$B$36,0)),"UNMAPPED ","")&amp;IF(COUNTIFS($C$4:$C410,$C410,$F$4:$F410,$F410,$H$4:$H410,$H410)&gt;1,"DUPLICATE ","")&amp;IF(AND(NOT(ISNA(MATCH($C410,Mapping!$B$7:$B$36,0))),$H410&lt;-'Control Panel'!$E$16),"CREDIT ","")&amp;IF(AND(NOT(ISNA(MATCH($C410,Mapping!$B$7:$B$36,0))),COUNTIFS(Budget!$B$4:$B$107,$B410,Budget!$C$4:$C$107,$D410)=0),"NO BUDGET ",""))</f>
        <v/>
      </c>
      <c r="L410" s="83" t="str">
        <f aca="false">IF($K410="","OK",$K410)</f>
        <v>OK</v>
      </c>
      <c r="M410" s="47" t="str">
        <f aca="false">IF(EXACT($L410,$I410),"ok","CHECK")</f>
        <v>ok</v>
      </c>
    </row>
    <row r="411" customFormat="false" ht="12" hidden="false" customHeight="true" outlineLevel="0" collapsed="false">
      <c r="B411" s="50" t="s">
        <v>153</v>
      </c>
      <c r="C411" s="50" t="s">
        <v>259</v>
      </c>
      <c r="D411" s="79" t="s">
        <v>111</v>
      </c>
      <c r="E411" s="80" t="n">
        <v>46174</v>
      </c>
      <c r="F411" s="50" t="s">
        <v>752</v>
      </c>
      <c r="G411" s="81" t="s">
        <v>318</v>
      </c>
      <c r="H411" s="82" t="n">
        <v>1821.82</v>
      </c>
      <c r="I411" s="37" t="s">
        <v>226</v>
      </c>
      <c r="J411" s="37" t="s">
        <v>77</v>
      </c>
      <c r="K411" s="37" t="str">
        <f aca="false">TRIM(IF($B411="UNASSIGNED","NO COST CENTRE ","")&amp;IF(ISNA(MATCH($C411,Mapping!$B$7:$B$36,0)),"UNMAPPED ","")&amp;IF(COUNTIFS($C$4:$C411,$C411,$F$4:$F411,$F411,$H$4:$H411,$H411)&gt;1,"DUPLICATE ","")&amp;IF(AND(NOT(ISNA(MATCH($C411,Mapping!$B$7:$B$36,0))),$H411&lt;-'Control Panel'!$E$16),"CREDIT ","")&amp;IF(AND(NOT(ISNA(MATCH($C411,Mapping!$B$7:$B$36,0))),COUNTIFS(Budget!$B$4:$B$107,$B411,Budget!$C$4:$C$107,$D411)=0),"NO BUDGET ",""))</f>
        <v/>
      </c>
      <c r="L411" s="83" t="str">
        <f aca="false">IF($K411="","OK",$K411)</f>
        <v>OK</v>
      </c>
      <c r="M411" s="47" t="str">
        <f aca="false">IF(EXACT($L411,$I411),"ok","CHECK")</f>
        <v>ok</v>
      </c>
    </row>
    <row r="412" customFormat="false" ht="12" hidden="false" customHeight="true" outlineLevel="0" collapsed="false">
      <c r="B412" s="50" t="s">
        <v>153</v>
      </c>
      <c r="C412" s="50" t="s">
        <v>241</v>
      </c>
      <c r="D412" s="79" t="s">
        <v>111</v>
      </c>
      <c r="E412" s="80" t="n">
        <v>46174</v>
      </c>
      <c r="F412" s="50" t="s">
        <v>753</v>
      </c>
      <c r="G412" s="81" t="s">
        <v>288</v>
      </c>
      <c r="H412" s="82" t="n">
        <v>1048.61</v>
      </c>
      <c r="I412" s="37" t="s">
        <v>226</v>
      </c>
      <c r="J412" s="37" t="s">
        <v>77</v>
      </c>
      <c r="K412" s="37" t="str">
        <f aca="false">TRIM(IF($B412="UNASSIGNED","NO COST CENTRE ","")&amp;IF(ISNA(MATCH($C412,Mapping!$B$7:$B$36,0)),"UNMAPPED ","")&amp;IF(COUNTIFS($C$4:$C412,$C412,$F$4:$F412,$F412,$H$4:$H412,$H412)&gt;1,"DUPLICATE ","")&amp;IF(AND(NOT(ISNA(MATCH($C412,Mapping!$B$7:$B$36,0))),$H412&lt;-'Control Panel'!$E$16),"CREDIT ","")&amp;IF(AND(NOT(ISNA(MATCH($C412,Mapping!$B$7:$B$36,0))),COUNTIFS(Budget!$B$4:$B$107,$B412,Budget!$C$4:$C$107,$D412)=0),"NO BUDGET ",""))</f>
        <v/>
      </c>
      <c r="L412" s="83" t="str">
        <f aca="false">IF($K412="","OK",$K412)</f>
        <v>OK</v>
      </c>
      <c r="M412" s="47" t="str">
        <f aca="false">IF(EXACT($L412,$I412),"ok","CHECK")</f>
        <v>ok</v>
      </c>
    </row>
    <row r="413" customFormat="false" ht="12" hidden="false" customHeight="true" outlineLevel="0" collapsed="false">
      <c r="B413" s="50" t="s">
        <v>153</v>
      </c>
      <c r="C413" s="50" t="s">
        <v>362</v>
      </c>
      <c r="D413" s="79" t="s">
        <v>120</v>
      </c>
      <c r="E413" s="80" t="n">
        <v>46175</v>
      </c>
      <c r="F413" s="50" t="s">
        <v>754</v>
      </c>
      <c r="G413" s="81" t="s">
        <v>746</v>
      </c>
      <c r="H413" s="82" t="n">
        <v>1889</v>
      </c>
      <c r="I413" s="37" t="s">
        <v>226</v>
      </c>
      <c r="J413" s="37" t="s">
        <v>77</v>
      </c>
      <c r="K413" s="37" t="str">
        <f aca="false">TRIM(IF($B413="UNASSIGNED","NO COST CENTRE ","")&amp;IF(ISNA(MATCH($C413,Mapping!$B$7:$B$36,0)),"UNMAPPED ","")&amp;IF(COUNTIFS($C$4:$C413,$C413,$F$4:$F413,$F413,$H$4:$H413,$H413)&gt;1,"DUPLICATE ","")&amp;IF(AND(NOT(ISNA(MATCH($C413,Mapping!$B$7:$B$36,0))),$H413&lt;-'Control Panel'!$E$16),"CREDIT ","")&amp;IF(AND(NOT(ISNA(MATCH($C413,Mapping!$B$7:$B$36,0))),COUNTIFS(Budget!$B$4:$B$107,$B413,Budget!$C$4:$C$107,$D413)=0),"NO BUDGET ",""))</f>
        <v/>
      </c>
      <c r="L413" s="83" t="str">
        <f aca="false">IF($K413="","OK",$K413)</f>
        <v>OK</v>
      </c>
      <c r="M413" s="47" t="str">
        <f aca="false">IF(EXACT($L413,$I413),"ok","CHECK")</f>
        <v>ok</v>
      </c>
    </row>
    <row r="414" customFormat="false" ht="12" hidden="false" customHeight="true" outlineLevel="0" collapsed="false">
      <c r="B414" s="50" t="s">
        <v>153</v>
      </c>
      <c r="C414" s="50" t="s">
        <v>244</v>
      </c>
      <c r="D414" s="79" t="s">
        <v>111</v>
      </c>
      <c r="E414" s="80" t="n">
        <v>46175</v>
      </c>
      <c r="F414" s="50" t="s">
        <v>755</v>
      </c>
      <c r="G414" s="81" t="s">
        <v>291</v>
      </c>
      <c r="H414" s="82" t="n">
        <v>1743.49</v>
      </c>
      <c r="I414" s="37" t="s">
        <v>226</v>
      </c>
      <c r="J414" s="37" t="s">
        <v>77</v>
      </c>
      <c r="K414" s="37" t="str">
        <f aca="false">TRIM(IF($B414="UNASSIGNED","NO COST CENTRE ","")&amp;IF(ISNA(MATCH($C414,Mapping!$B$7:$B$36,0)),"UNMAPPED ","")&amp;IF(COUNTIFS($C$4:$C414,$C414,$F$4:$F414,$F414,$H$4:$H414,$H414)&gt;1,"DUPLICATE ","")&amp;IF(AND(NOT(ISNA(MATCH($C414,Mapping!$B$7:$B$36,0))),$H414&lt;-'Control Panel'!$E$16),"CREDIT ","")&amp;IF(AND(NOT(ISNA(MATCH($C414,Mapping!$B$7:$B$36,0))),COUNTIFS(Budget!$B$4:$B$107,$B414,Budget!$C$4:$C$107,$D414)=0),"NO BUDGET ",""))</f>
        <v/>
      </c>
      <c r="L414" s="83" t="str">
        <f aca="false">IF($K414="","OK",$K414)</f>
        <v>OK</v>
      </c>
      <c r="M414" s="47" t="str">
        <f aca="false">IF(EXACT($L414,$I414),"ok","CHECK")</f>
        <v>ok</v>
      </c>
    </row>
    <row r="415" customFormat="false" ht="12" hidden="false" customHeight="true" outlineLevel="0" collapsed="false">
      <c r="B415" s="50" t="s">
        <v>153</v>
      </c>
      <c r="C415" s="50" t="s">
        <v>227</v>
      </c>
      <c r="D415" s="79" t="s">
        <v>112</v>
      </c>
      <c r="E415" s="80" t="n">
        <v>46175</v>
      </c>
      <c r="F415" s="50" t="s">
        <v>756</v>
      </c>
      <c r="G415" s="81" t="s">
        <v>284</v>
      </c>
      <c r="H415" s="82" t="n">
        <v>4135.62</v>
      </c>
      <c r="I415" s="37" t="s">
        <v>226</v>
      </c>
      <c r="J415" s="37" t="s">
        <v>77</v>
      </c>
      <c r="K415" s="37" t="str">
        <f aca="false">TRIM(IF($B415="UNASSIGNED","NO COST CENTRE ","")&amp;IF(ISNA(MATCH($C415,Mapping!$B$7:$B$36,0)),"UNMAPPED ","")&amp;IF(COUNTIFS($C$4:$C415,$C415,$F$4:$F415,$F415,$H$4:$H415,$H415)&gt;1,"DUPLICATE ","")&amp;IF(AND(NOT(ISNA(MATCH($C415,Mapping!$B$7:$B$36,0))),$H415&lt;-'Control Panel'!$E$16),"CREDIT ","")&amp;IF(AND(NOT(ISNA(MATCH($C415,Mapping!$B$7:$B$36,0))),COUNTIFS(Budget!$B$4:$B$107,$B415,Budget!$C$4:$C$107,$D415)=0),"NO BUDGET ",""))</f>
        <v/>
      </c>
      <c r="L415" s="83" t="str">
        <f aca="false">IF($K415="","OK",$K415)</f>
        <v>OK</v>
      </c>
      <c r="M415" s="47" t="str">
        <f aca="false">IF(EXACT($L415,$I415),"ok","CHECK")</f>
        <v>ok</v>
      </c>
    </row>
    <row r="416" customFormat="false" ht="12" hidden="false" customHeight="true" outlineLevel="0" collapsed="false">
      <c r="B416" s="50" t="s">
        <v>153</v>
      </c>
      <c r="C416" s="50" t="s">
        <v>289</v>
      </c>
      <c r="D416" s="79" t="s">
        <v>111</v>
      </c>
      <c r="E416" s="80" t="n">
        <v>46177</v>
      </c>
      <c r="F416" s="50" t="s">
        <v>757</v>
      </c>
      <c r="G416" s="81" t="s">
        <v>318</v>
      </c>
      <c r="H416" s="82" t="n">
        <v>2094.03</v>
      </c>
      <c r="I416" s="37" t="s">
        <v>226</v>
      </c>
      <c r="J416" s="37" t="s">
        <v>77</v>
      </c>
      <c r="K416" s="37" t="str">
        <f aca="false">TRIM(IF($B416="UNASSIGNED","NO COST CENTRE ","")&amp;IF(ISNA(MATCH($C416,Mapping!$B$7:$B$36,0)),"UNMAPPED ","")&amp;IF(COUNTIFS($C$4:$C416,$C416,$F$4:$F416,$F416,$H$4:$H416,$H416)&gt;1,"DUPLICATE ","")&amp;IF(AND(NOT(ISNA(MATCH($C416,Mapping!$B$7:$B$36,0))),$H416&lt;-'Control Panel'!$E$16),"CREDIT ","")&amp;IF(AND(NOT(ISNA(MATCH($C416,Mapping!$B$7:$B$36,0))),COUNTIFS(Budget!$B$4:$B$107,$B416,Budget!$C$4:$C$107,$D416)=0),"NO BUDGET ",""))</f>
        <v/>
      </c>
      <c r="L416" s="83" t="str">
        <f aca="false">IF($K416="","OK",$K416)</f>
        <v>OK</v>
      </c>
      <c r="M416" s="47" t="str">
        <f aca="false">IF(EXACT($L416,$I416),"ok","CHECK")</f>
        <v>ok</v>
      </c>
    </row>
    <row r="417" customFormat="false" ht="12" hidden="false" customHeight="true" outlineLevel="0" collapsed="false">
      <c r="B417" s="50" t="s">
        <v>153</v>
      </c>
      <c r="C417" s="50" t="s">
        <v>266</v>
      </c>
      <c r="D417" s="79" t="s">
        <v>109</v>
      </c>
      <c r="E417" s="80" t="n">
        <v>46177</v>
      </c>
      <c r="F417" s="50" t="s">
        <v>758</v>
      </c>
      <c r="G417" s="81" t="s">
        <v>272</v>
      </c>
      <c r="H417" s="82" t="n">
        <v>1110.84</v>
      </c>
      <c r="I417" s="37" t="s">
        <v>226</v>
      </c>
      <c r="J417" s="37" t="s">
        <v>77</v>
      </c>
      <c r="K417" s="37" t="str">
        <f aca="false">TRIM(IF($B417="UNASSIGNED","NO COST CENTRE ","")&amp;IF(ISNA(MATCH($C417,Mapping!$B$7:$B$36,0)),"UNMAPPED ","")&amp;IF(COUNTIFS($C$4:$C417,$C417,$F$4:$F417,$F417,$H$4:$H417,$H417)&gt;1,"DUPLICATE ","")&amp;IF(AND(NOT(ISNA(MATCH($C417,Mapping!$B$7:$B$36,0))),$H417&lt;-'Control Panel'!$E$16),"CREDIT ","")&amp;IF(AND(NOT(ISNA(MATCH($C417,Mapping!$B$7:$B$36,0))),COUNTIFS(Budget!$B$4:$B$107,$B417,Budget!$C$4:$C$107,$D417)=0),"NO BUDGET ",""))</f>
        <v/>
      </c>
      <c r="L417" s="83" t="str">
        <f aca="false">IF($K417="","OK",$K417)</f>
        <v>OK</v>
      </c>
      <c r="M417" s="47" t="str">
        <f aca="false">IF(EXACT($L417,$I417),"ok","CHECK")</f>
        <v>ok</v>
      </c>
    </row>
    <row r="418" customFormat="false" ht="12" hidden="false" customHeight="true" outlineLevel="0" collapsed="false">
      <c r="B418" s="50" t="s">
        <v>153</v>
      </c>
      <c r="C418" s="50" t="s">
        <v>244</v>
      </c>
      <c r="D418" s="79" t="s">
        <v>111</v>
      </c>
      <c r="E418" s="80" t="n">
        <v>46178</v>
      </c>
      <c r="F418" s="50" t="s">
        <v>759</v>
      </c>
      <c r="G418" s="81" t="s">
        <v>360</v>
      </c>
      <c r="H418" s="82" t="n">
        <v>1043.24</v>
      </c>
      <c r="I418" s="37" t="s">
        <v>226</v>
      </c>
      <c r="J418" s="37" t="s">
        <v>77</v>
      </c>
      <c r="K418" s="37" t="str">
        <f aca="false">TRIM(IF($B418="UNASSIGNED","NO COST CENTRE ","")&amp;IF(ISNA(MATCH($C418,Mapping!$B$7:$B$36,0)),"UNMAPPED ","")&amp;IF(COUNTIFS($C$4:$C418,$C418,$F$4:$F418,$F418,$H$4:$H418,$H418)&gt;1,"DUPLICATE ","")&amp;IF(AND(NOT(ISNA(MATCH($C418,Mapping!$B$7:$B$36,0))),$H418&lt;-'Control Panel'!$E$16),"CREDIT ","")&amp;IF(AND(NOT(ISNA(MATCH($C418,Mapping!$B$7:$B$36,0))),COUNTIFS(Budget!$B$4:$B$107,$B418,Budget!$C$4:$C$107,$D418)=0),"NO BUDGET ",""))</f>
        <v/>
      </c>
      <c r="L418" s="83" t="str">
        <f aca="false">IF($K418="","OK",$K418)</f>
        <v>OK</v>
      </c>
      <c r="M418" s="47" t="str">
        <f aca="false">IF(EXACT($L418,$I418),"ok","CHECK")</f>
        <v>ok</v>
      </c>
    </row>
    <row r="419" customFormat="false" ht="12" hidden="false" customHeight="true" outlineLevel="0" collapsed="false">
      <c r="B419" s="50" t="s">
        <v>153</v>
      </c>
      <c r="C419" s="50" t="s">
        <v>289</v>
      </c>
      <c r="D419" s="79" t="s">
        <v>111</v>
      </c>
      <c r="E419" s="80" t="n">
        <v>46179</v>
      </c>
      <c r="F419" s="50" t="s">
        <v>760</v>
      </c>
      <c r="G419" s="81" t="s">
        <v>360</v>
      </c>
      <c r="H419" s="82" t="n">
        <v>1076.84</v>
      </c>
      <c r="I419" s="37" t="s">
        <v>226</v>
      </c>
      <c r="J419" s="37" t="s">
        <v>77</v>
      </c>
      <c r="K419" s="37" t="str">
        <f aca="false">TRIM(IF($B419="UNASSIGNED","NO COST CENTRE ","")&amp;IF(ISNA(MATCH($C419,Mapping!$B$7:$B$36,0)),"UNMAPPED ","")&amp;IF(COUNTIFS($C$4:$C419,$C419,$F$4:$F419,$F419,$H$4:$H419,$H419)&gt;1,"DUPLICATE ","")&amp;IF(AND(NOT(ISNA(MATCH($C419,Mapping!$B$7:$B$36,0))),$H419&lt;-'Control Panel'!$E$16),"CREDIT ","")&amp;IF(AND(NOT(ISNA(MATCH($C419,Mapping!$B$7:$B$36,0))),COUNTIFS(Budget!$B$4:$B$107,$B419,Budget!$C$4:$C$107,$D419)=0),"NO BUDGET ",""))</f>
        <v/>
      </c>
      <c r="L419" s="83" t="str">
        <f aca="false">IF($K419="","OK",$K419)</f>
        <v>OK</v>
      </c>
      <c r="M419" s="47" t="str">
        <f aca="false">IF(EXACT($L419,$I419),"ok","CHECK")</f>
        <v>ok</v>
      </c>
    </row>
    <row r="420" customFormat="false" ht="12" hidden="false" customHeight="true" outlineLevel="0" collapsed="false">
      <c r="B420" s="50" t="s">
        <v>153</v>
      </c>
      <c r="C420" s="50" t="s">
        <v>282</v>
      </c>
      <c r="D420" s="79" t="s">
        <v>112</v>
      </c>
      <c r="E420" s="80" t="n">
        <v>46179</v>
      </c>
      <c r="F420" s="50" t="s">
        <v>761</v>
      </c>
      <c r="G420" s="81" t="s">
        <v>284</v>
      </c>
      <c r="H420" s="82" t="n">
        <v>5977.46</v>
      </c>
      <c r="I420" s="37" t="s">
        <v>226</v>
      </c>
      <c r="J420" s="37" t="s">
        <v>77</v>
      </c>
      <c r="K420" s="37" t="str">
        <f aca="false">TRIM(IF($B420="UNASSIGNED","NO COST CENTRE ","")&amp;IF(ISNA(MATCH($C420,Mapping!$B$7:$B$36,0)),"UNMAPPED ","")&amp;IF(COUNTIFS($C$4:$C420,$C420,$F$4:$F420,$F420,$H$4:$H420,$H420)&gt;1,"DUPLICATE ","")&amp;IF(AND(NOT(ISNA(MATCH($C420,Mapping!$B$7:$B$36,0))),$H420&lt;-'Control Panel'!$E$16),"CREDIT ","")&amp;IF(AND(NOT(ISNA(MATCH($C420,Mapping!$B$7:$B$36,0))),COUNTIFS(Budget!$B$4:$B$107,$B420,Budget!$C$4:$C$107,$D420)=0),"NO BUDGET ",""))</f>
        <v/>
      </c>
      <c r="L420" s="83" t="str">
        <f aca="false">IF($K420="","OK",$K420)</f>
        <v>OK</v>
      </c>
      <c r="M420" s="47" t="str">
        <f aca="false">IF(EXACT($L420,$I420),"ok","CHECK")</f>
        <v>ok</v>
      </c>
    </row>
    <row r="421" customFormat="false" ht="12" hidden="false" customHeight="true" outlineLevel="0" collapsed="false">
      <c r="B421" s="50" t="s">
        <v>153</v>
      </c>
      <c r="C421" s="50" t="s">
        <v>244</v>
      </c>
      <c r="D421" s="79" t="s">
        <v>111</v>
      </c>
      <c r="E421" s="80" t="n">
        <v>46180</v>
      </c>
      <c r="F421" s="50" t="s">
        <v>762</v>
      </c>
      <c r="G421" s="81" t="s">
        <v>246</v>
      </c>
      <c r="H421" s="82" t="n">
        <v>999.09</v>
      </c>
      <c r="I421" s="37" t="s">
        <v>226</v>
      </c>
      <c r="J421" s="37" t="s">
        <v>77</v>
      </c>
      <c r="K421" s="37" t="str">
        <f aca="false">TRIM(IF($B421="UNASSIGNED","NO COST CENTRE ","")&amp;IF(ISNA(MATCH($C421,Mapping!$B$7:$B$36,0)),"UNMAPPED ","")&amp;IF(COUNTIFS($C$4:$C421,$C421,$F$4:$F421,$F421,$H$4:$H421,$H421)&gt;1,"DUPLICATE ","")&amp;IF(AND(NOT(ISNA(MATCH($C421,Mapping!$B$7:$B$36,0))),$H421&lt;-'Control Panel'!$E$16),"CREDIT ","")&amp;IF(AND(NOT(ISNA(MATCH($C421,Mapping!$B$7:$B$36,0))),COUNTIFS(Budget!$B$4:$B$107,$B421,Budget!$C$4:$C$107,$D421)=0),"NO BUDGET ",""))</f>
        <v/>
      </c>
      <c r="L421" s="83" t="str">
        <f aca="false">IF($K421="","OK",$K421)</f>
        <v>OK</v>
      </c>
      <c r="M421" s="47" t="str">
        <f aca="false">IF(EXACT($L421,$I421),"ok","CHECK")</f>
        <v>ok</v>
      </c>
    </row>
    <row r="422" customFormat="false" ht="12" hidden="false" customHeight="true" outlineLevel="0" collapsed="false">
      <c r="B422" s="50" t="s">
        <v>153</v>
      </c>
      <c r="C422" s="50" t="s">
        <v>301</v>
      </c>
      <c r="D422" s="79" t="s">
        <v>122</v>
      </c>
      <c r="E422" s="80" t="n">
        <v>46180</v>
      </c>
      <c r="F422" s="50" t="s">
        <v>763</v>
      </c>
      <c r="G422" s="81" t="s">
        <v>237</v>
      </c>
      <c r="H422" s="82" t="n">
        <v>1776.98</v>
      </c>
      <c r="I422" s="37" t="s">
        <v>226</v>
      </c>
      <c r="J422" s="37" t="s">
        <v>77</v>
      </c>
      <c r="K422" s="37" t="str">
        <f aca="false">TRIM(IF($B422="UNASSIGNED","NO COST CENTRE ","")&amp;IF(ISNA(MATCH($C422,Mapping!$B$7:$B$36,0)),"UNMAPPED ","")&amp;IF(COUNTIFS($C$4:$C422,$C422,$F$4:$F422,$F422,$H$4:$H422,$H422)&gt;1,"DUPLICATE ","")&amp;IF(AND(NOT(ISNA(MATCH($C422,Mapping!$B$7:$B$36,0))),$H422&lt;-'Control Panel'!$E$16),"CREDIT ","")&amp;IF(AND(NOT(ISNA(MATCH($C422,Mapping!$B$7:$B$36,0))),COUNTIFS(Budget!$B$4:$B$107,$B422,Budget!$C$4:$C$107,$D422)=0),"NO BUDGET ",""))</f>
        <v/>
      </c>
      <c r="L422" s="83" t="str">
        <f aca="false">IF($K422="","OK",$K422)</f>
        <v>OK</v>
      </c>
      <c r="M422" s="47" t="str">
        <f aca="false">IF(EXACT($L422,$I422),"ok","CHECK")</f>
        <v>ok</v>
      </c>
    </row>
    <row r="423" customFormat="false" ht="12" hidden="false" customHeight="true" outlineLevel="0" collapsed="false">
      <c r="B423" s="50" t="s">
        <v>153</v>
      </c>
      <c r="C423" s="50" t="s">
        <v>289</v>
      </c>
      <c r="D423" s="79" t="s">
        <v>111</v>
      </c>
      <c r="E423" s="80" t="n">
        <v>46180</v>
      </c>
      <c r="F423" s="50" t="s">
        <v>764</v>
      </c>
      <c r="G423" s="81" t="s">
        <v>243</v>
      </c>
      <c r="H423" s="82" t="n">
        <v>2398.91</v>
      </c>
      <c r="I423" s="37" t="s">
        <v>226</v>
      </c>
      <c r="J423" s="37" t="s">
        <v>77</v>
      </c>
      <c r="K423" s="37" t="str">
        <f aca="false">TRIM(IF($B423="UNASSIGNED","NO COST CENTRE ","")&amp;IF(ISNA(MATCH($C423,Mapping!$B$7:$B$36,0)),"UNMAPPED ","")&amp;IF(COUNTIFS($C$4:$C423,$C423,$F$4:$F423,$F423,$H$4:$H423,$H423)&gt;1,"DUPLICATE ","")&amp;IF(AND(NOT(ISNA(MATCH($C423,Mapping!$B$7:$B$36,0))),$H423&lt;-'Control Panel'!$E$16),"CREDIT ","")&amp;IF(AND(NOT(ISNA(MATCH($C423,Mapping!$B$7:$B$36,0))),COUNTIFS(Budget!$B$4:$B$107,$B423,Budget!$C$4:$C$107,$D423)=0),"NO BUDGET ",""))</f>
        <v/>
      </c>
      <c r="L423" s="83" t="str">
        <f aca="false">IF($K423="","OK",$K423)</f>
        <v>OK</v>
      </c>
      <c r="M423" s="47" t="str">
        <f aca="false">IF(EXACT($L423,$I423),"ok","CHECK")</f>
        <v>ok</v>
      </c>
    </row>
    <row r="424" customFormat="false" ht="12" hidden="false" customHeight="true" outlineLevel="0" collapsed="false">
      <c r="B424" s="50" t="s">
        <v>153</v>
      </c>
      <c r="C424" s="50" t="s">
        <v>765</v>
      </c>
      <c r="D424" s="79" t="s">
        <v>119</v>
      </c>
      <c r="E424" s="80" t="n">
        <v>46181</v>
      </c>
      <c r="F424" s="50" t="s">
        <v>766</v>
      </c>
      <c r="G424" s="81" t="s">
        <v>767</v>
      </c>
      <c r="H424" s="82" t="n">
        <v>1165.04</v>
      </c>
      <c r="I424" s="37" t="s">
        <v>226</v>
      </c>
      <c r="J424" s="37" t="s">
        <v>77</v>
      </c>
      <c r="K424" s="37" t="str">
        <f aca="false">TRIM(IF($B424="UNASSIGNED","NO COST CENTRE ","")&amp;IF(ISNA(MATCH($C424,Mapping!$B$7:$B$36,0)),"UNMAPPED ","")&amp;IF(COUNTIFS($C$4:$C424,$C424,$F$4:$F424,$F424,$H$4:$H424,$H424)&gt;1,"DUPLICATE ","")&amp;IF(AND(NOT(ISNA(MATCH($C424,Mapping!$B$7:$B$36,0))),$H424&lt;-'Control Panel'!$E$16),"CREDIT ","")&amp;IF(AND(NOT(ISNA(MATCH($C424,Mapping!$B$7:$B$36,0))),COUNTIFS(Budget!$B$4:$B$107,$B424,Budget!$C$4:$C$107,$D424)=0),"NO BUDGET ",""))</f>
        <v/>
      </c>
      <c r="L424" s="83" t="str">
        <f aca="false">IF($K424="","OK",$K424)</f>
        <v>OK</v>
      </c>
      <c r="M424" s="47" t="str">
        <f aca="false">IF(EXACT($L424,$I424),"ok","CHECK")</f>
        <v>ok</v>
      </c>
    </row>
    <row r="425" customFormat="false" ht="12" hidden="false" customHeight="true" outlineLevel="0" collapsed="false">
      <c r="B425" s="50" t="s">
        <v>153</v>
      </c>
      <c r="C425" s="50" t="s">
        <v>223</v>
      </c>
      <c r="D425" s="79" t="s">
        <v>113</v>
      </c>
      <c r="E425" s="80" t="n">
        <v>46183</v>
      </c>
      <c r="F425" s="50" t="s">
        <v>768</v>
      </c>
      <c r="G425" s="81" t="s">
        <v>405</v>
      </c>
      <c r="H425" s="82" t="n">
        <v>1332.56</v>
      </c>
      <c r="I425" s="37" t="s">
        <v>226</v>
      </c>
      <c r="J425" s="37" t="s">
        <v>77</v>
      </c>
      <c r="K425" s="37" t="str">
        <f aca="false">TRIM(IF($B425="UNASSIGNED","NO COST CENTRE ","")&amp;IF(ISNA(MATCH($C425,Mapping!$B$7:$B$36,0)),"UNMAPPED ","")&amp;IF(COUNTIFS($C$4:$C425,$C425,$F$4:$F425,$F425,$H$4:$H425,$H425)&gt;1,"DUPLICATE ","")&amp;IF(AND(NOT(ISNA(MATCH($C425,Mapping!$B$7:$B$36,0))),$H425&lt;-'Control Panel'!$E$16),"CREDIT ","")&amp;IF(AND(NOT(ISNA(MATCH($C425,Mapping!$B$7:$B$36,0))),COUNTIFS(Budget!$B$4:$B$107,$B425,Budget!$C$4:$C$107,$D425)=0),"NO BUDGET ",""))</f>
        <v/>
      </c>
      <c r="L425" s="83" t="str">
        <f aca="false">IF($K425="","OK",$K425)</f>
        <v>OK</v>
      </c>
      <c r="M425" s="47" t="str">
        <f aca="false">IF(EXACT($L425,$I425),"ok","CHECK")</f>
        <v>ok</v>
      </c>
    </row>
    <row r="426" customFormat="false" ht="12" hidden="false" customHeight="true" outlineLevel="0" collapsed="false">
      <c r="B426" s="50" t="s">
        <v>153</v>
      </c>
      <c r="C426" s="50" t="s">
        <v>765</v>
      </c>
      <c r="D426" s="79" t="s">
        <v>119</v>
      </c>
      <c r="E426" s="80" t="n">
        <v>46184</v>
      </c>
      <c r="F426" s="50" t="s">
        <v>769</v>
      </c>
      <c r="G426" s="81" t="s">
        <v>770</v>
      </c>
      <c r="H426" s="82" t="n">
        <v>1258.01</v>
      </c>
      <c r="I426" s="37" t="s">
        <v>226</v>
      </c>
      <c r="J426" s="37" t="s">
        <v>77</v>
      </c>
      <c r="K426" s="37" t="str">
        <f aca="false">TRIM(IF($B426="UNASSIGNED","NO COST CENTRE ","")&amp;IF(ISNA(MATCH($C426,Mapping!$B$7:$B$36,0)),"UNMAPPED ","")&amp;IF(COUNTIFS($C$4:$C426,$C426,$F$4:$F426,$F426,$H$4:$H426,$H426)&gt;1,"DUPLICATE ","")&amp;IF(AND(NOT(ISNA(MATCH($C426,Mapping!$B$7:$B$36,0))),$H426&lt;-'Control Panel'!$E$16),"CREDIT ","")&amp;IF(AND(NOT(ISNA(MATCH($C426,Mapping!$B$7:$B$36,0))),COUNTIFS(Budget!$B$4:$B$107,$B426,Budget!$C$4:$C$107,$D426)=0),"NO BUDGET ",""))</f>
        <v/>
      </c>
      <c r="L426" s="83" t="str">
        <f aca="false">IF($K426="","OK",$K426)</f>
        <v>OK</v>
      </c>
      <c r="M426" s="47" t="str">
        <f aca="false">IF(EXACT($L426,$I426),"ok","CHECK")</f>
        <v>ok</v>
      </c>
    </row>
    <row r="427" customFormat="false" ht="12" hidden="false" customHeight="true" outlineLevel="0" collapsed="false">
      <c r="B427" s="50" t="s">
        <v>153</v>
      </c>
      <c r="C427" s="50" t="s">
        <v>259</v>
      </c>
      <c r="D427" s="79" t="s">
        <v>111</v>
      </c>
      <c r="E427" s="80" t="n">
        <v>46184</v>
      </c>
      <c r="F427" s="50" t="s">
        <v>771</v>
      </c>
      <c r="G427" s="81" t="s">
        <v>243</v>
      </c>
      <c r="H427" s="82" t="n">
        <v>1512.58</v>
      </c>
      <c r="I427" s="37" t="s">
        <v>226</v>
      </c>
      <c r="J427" s="37" t="s">
        <v>77</v>
      </c>
      <c r="K427" s="37" t="str">
        <f aca="false">TRIM(IF($B427="UNASSIGNED","NO COST CENTRE ","")&amp;IF(ISNA(MATCH($C427,Mapping!$B$7:$B$36,0)),"UNMAPPED ","")&amp;IF(COUNTIFS($C$4:$C427,$C427,$F$4:$F427,$F427,$H$4:$H427,$H427)&gt;1,"DUPLICATE ","")&amp;IF(AND(NOT(ISNA(MATCH($C427,Mapping!$B$7:$B$36,0))),$H427&lt;-'Control Panel'!$E$16),"CREDIT ","")&amp;IF(AND(NOT(ISNA(MATCH($C427,Mapping!$B$7:$B$36,0))),COUNTIFS(Budget!$B$4:$B$107,$B427,Budget!$C$4:$C$107,$D427)=0),"NO BUDGET ",""))</f>
        <v/>
      </c>
      <c r="L427" s="83" t="str">
        <f aca="false">IF($K427="","OK",$K427)</f>
        <v>OK</v>
      </c>
      <c r="M427" s="47" t="str">
        <f aca="false">IF(EXACT($L427,$I427),"ok","CHECK")</f>
        <v>ok</v>
      </c>
    </row>
    <row r="428" customFormat="false" ht="12" hidden="false" customHeight="true" outlineLevel="0" collapsed="false">
      <c r="B428" s="50" t="s">
        <v>153</v>
      </c>
      <c r="C428" s="50" t="s">
        <v>223</v>
      </c>
      <c r="D428" s="79" t="s">
        <v>113</v>
      </c>
      <c r="E428" s="80" t="n">
        <v>46184</v>
      </c>
      <c r="F428" s="50" t="s">
        <v>772</v>
      </c>
      <c r="G428" s="81" t="s">
        <v>414</v>
      </c>
      <c r="H428" s="82" t="n">
        <v>1736.8</v>
      </c>
      <c r="I428" s="37" t="s">
        <v>226</v>
      </c>
      <c r="J428" s="37" t="s">
        <v>77</v>
      </c>
      <c r="K428" s="37" t="str">
        <f aca="false">TRIM(IF($B428="UNASSIGNED","NO COST CENTRE ","")&amp;IF(ISNA(MATCH($C428,Mapping!$B$7:$B$36,0)),"UNMAPPED ","")&amp;IF(COUNTIFS($C$4:$C428,$C428,$F$4:$F428,$F428,$H$4:$H428,$H428)&gt;1,"DUPLICATE ","")&amp;IF(AND(NOT(ISNA(MATCH($C428,Mapping!$B$7:$B$36,0))),$H428&lt;-'Control Panel'!$E$16),"CREDIT ","")&amp;IF(AND(NOT(ISNA(MATCH($C428,Mapping!$B$7:$B$36,0))),COUNTIFS(Budget!$B$4:$B$107,$B428,Budget!$C$4:$C$107,$D428)=0),"NO BUDGET ",""))</f>
        <v/>
      </c>
      <c r="L428" s="83" t="str">
        <f aca="false">IF($K428="","OK",$K428)</f>
        <v>OK</v>
      </c>
      <c r="M428" s="47" t="str">
        <f aca="false">IF(EXACT($L428,$I428),"ok","CHECK")</f>
        <v>ok</v>
      </c>
    </row>
    <row r="429" customFormat="false" ht="12" hidden="false" customHeight="true" outlineLevel="0" collapsed="false">
      <c r="B429" s="50" t="s">
        <v>153</v>
      </c>
      <c r="C429" s="50" t="s">
        <v>241</v>
      </c>
      <c r="D429" s="79" t="s">
        <v>111</v>
      </c>
      <c r="E429" s="80" t="n">
        <v>46186</v>
      </c>
      <c r="F429" s="50" t="s">
        <v>773</v>
      </c>
      <c r="G429" s="81" t="s">
        <v>291</v>
      </c>
      <c r="H429" s="82" t="n">
        <v>2220.62</v>
      </c>
      <c r="I429" s="37" t="s">
        <v>226</v>
      </c>
      <c r="J429" s="37" t="s">
        <v>77</v>
      </c>
      <c r="K429" s="37" t="str">
        <f aca="false">TRIM(IF($B429="UNASSIGNED","NO COST CENTRE ","")&amp;IF(ISNA(MATCH($C429,Mapping!$B$7:$B$36,0)),"UNMAPPED ","")&amp;IF(COUNTIFS($C$4:$C429,$C429,$F$4:$F429,$F429,$H$4:$H429,$H429)&gt;1,"DUPLICATE ","")&amp;IF(AND(NOT(ISNA(MATCH($C429,Mapping!$B$7:$B$36,0))),$H429&lt;-'Control Panel'!$E$16),"CREDIT ","")&amp;IF(AND(NOT(ISNA(MATCH($C429,Mapping!$B$7:$B$36,0))),COUNTIFS(Budget!$B$4:$B$107,$B429,Budget!$C$4:$C$107,$D429)=0),"NO BUDGET ",""))</f>
        <v/>
      </c>
      <c r="L429" s="83" t="str">
        <f aca="false">IF($K429="","OK",$K429)</f>
        <v>OK</v>
      </c>
      <c r="M429" s="47" t="str">
        <f aca="false">IF(EXACT($L429,$I429),"ok","CHECK")</f>
        <v>ok</v>
      </c>
    </row>
    <row r="430" customFormat="false" ht="12" hidden="false" customHeight="true" outlineLevel="0" collapsed="false">
      <c r="B430" s="50" t="s">
        <v>153</v>
      </c>
      <c r="C430" s="50" t="s">
        <v>244</v>
      </c>
      <c r="D430" s="79" t="s">
        <v>111</v>
      </c>
      <c r="E430" s="80" t="n">
        <v>46187</v>
      </c>
      <c r="F430" s="50" t="s">
        <v>774</v>
      </c>
      <c r="G430" s="81" t="s">
        <v>246</v>
      </c>
      <c r="H430" s="82" t="n">
        <v>1367.14</v>
      </c>
      <c r="I430" s="37" t="s">
        <v>226</v>
      </c>
      <c r="J430" s="37" t="s">
        <v>77</v>
      </c>
      <c r="K430" s="37" t="str">
        <f aca="false">TRIM(IF($B430="UNASSIGNED","NO COST CENTRE ","")&amp;IF(ISNA(MATCH($C430,Mapping!$B$7:$B$36,0)),"UNMAPPED ","")&amp;IF(COUNTIFS($C$4:$C430,$C430,$F$4:$F430,$F430,$H$4:$H430,$H430)&gt;1,"DUPLICATE ","")&amp;IF(AND(NOT(ISNA(MATCH($C430,Mapping!$B$7:$B$36,0))),$H430&lt;-'Control Panel'!$E$16),"CREDIT ","")&amp;IF(AND(NOT(ISNA(MATCH($C430,Mapping!$B$7:$B$36,0))),COUNTIFS(Budget!$B$4:$B$107,$B430,Budget!$C$4:$C$107,$D430)=0),"NO BUDGET ",""))</f>
        <v/>
      </c>
      <c r="L430" s="83" t="str">
        <f aca="false">IF($K430="","OK",$K430)</f>
        <v>OK</v>
      </c>
      <c r="M430" s="47" t="str">
        <f aca="false">IF(EXACT($L430,$I430),"ok","CHECK")</f>
        <v>ok</v>
      </c>
    </row>
    <row r="431" customFormat="false" ht="12" hidden="false" customHeight="true" outlineLevel="0" collapsed="false">
      <c r="B431" s="50" t="s">
        <v>153</v>
      </c>
      <c r="C431" s="50" t="s">
        <v>259</v>
      </c>
      <c r="D431" s="79" t="s">
        <v>111</v>
      </c>
      <c r="E431" s="80" t="n">
        <v>46187</v>
      </c>
      <c r="F431" s="50" t="s">
        <v>775</v>
      </c>
      <c r="G431" s="81" t="s">
        <v>360</v>
      </c>
      <c r="H431" s="82" t="n">
        <v>1603.11</v>
      </c>
      <c r="I431" s="37" t="s">
        <v>226</v>
      </c>
      <c r="J431" s="37" t="s">
        <v>77</v>
      </c>
      <c r="K431" s="37" t="str">
        <f aca="false">TRIM(IF($B431="UNASSIGNED","NO COST CENTRE ","")&amp;IF(ISNA(MATCH($C431,Mapping!$B$7:$B$36,0)),"UNMAPPED ","")&amp;IF(COUNTIFS($C$4:$C431,$C431,$F$4:$F431,$F431,$H$4:$H431,$H431)&gt;1,"DUPLICATE ","")&amp;IF(AND(NOT(ISNA(MATCH($C431,Mapping!$B$7:$B$36,0))),$H431&lt;-'Control Panel'!$E$16),"CREDIT ","")&amp;IF(AND(NOT(ISNA(MATCH($C431,Mapping!$B$7:$B$36,0))),COUNTIFS(Budget!$B$4:$B$107,$B431,Budget!$C$4:$C$107,$D431)=0),"NO BUDGET ",""))</f>
        <v/>
      </c>
      <c r="L431" s="83" t="str">
        <f aca="false">IF($K431="","OK",$K431)</f>
        <v>OK</v>
      </c>
      <c r="M431" s="47" t="str">
        <f aca="false">IF(EXACT($L431,$I431),"ok","CHECK")</f>
        <v>ok</v>
      </c>
    </row>
    <row r="432" customFormat="false" ht="12" hidden="false" customHeight="true" outlineLevel="0" collapsed="false">
      <c r="B432" s="50" t="s">
        <v>153</v>
      </c>
      <c r="C432" s="50" t="s">
        <v>289</v>
      </c>
      <c r="D432" s="79" t="s">
        <v>111</v>
      </c>
      <c r="E432" s="80" t="n">
        <v>46189</v>
      </c>
      <c r="F432" s="50" t="s">
        <v>776</v>
      </c>
      <c r="G432" s="81" t="s">
        <v>291</v>
      </c>
      <c r="H432" s="82" t="n">
        <v>1110.93</v>
      </c>
      <c r="I432" s="37" t="s">
        <v>226</v>
      </c>
      <c r="J432" s="37" t="s">
        <v>77</v>
      </c>
      <c r="K432" s="37" t="str">
        <f aca="false">TRIM(IF($B432="UNASSIGNED","NO COST CENTRE ","")&amp;IF(ISNA(MATCH($C432,Mapping!$B$7:$B$36,0)),"UNMAPPED ","")&amp;IF(COUNTIFS($C$4:$C432,$C432,$F$4:$F432,$F432,$H$4:$H432,$H432)&gt;1,"DUPLICATE ","")&amp;IF(AND(NOT(ISNA(MATCH($C432,Mapping!$B$7:$B$36,0))),$H432&lt;-'Control Panel'!$E$16),"CREDIT ","")&amp;IF(AND(NOT(ISNA(MATCH($C432,Mapping!$B$7:$B$36,0))),COUNTIFS(Budget!$B$4:$B$107,$B432,Budget!$C$4:$C$107,$D432)=0),"NO BUDGET ",""))</f>
        <v/>
      </c>
      <c r="L432" s="83" t="str">
        <f aca="false">IF($K432="","OK",$K432)</f>
        <v>OK</v>
      </c>
      <c r="M432" s="47" t="str">
        <f aca="false">IF(EXACT($L432,$I432),"ok","CHECK")</f>
        <v>ok</v>
      </c>
    </row>
    <row r="433" customFormat="false" ht="12" hidden="false" customHeight="true" outlineLevel="0" collapsed="false">
      <c r="B433" s="50" t="s">
        <v>153</v>
      </c>
      <c r="C433" s="50" t="s">
        <v>377</v>
      </c>
      <c r="D433" s="79" t="s">
        <v>114</v>
      </c>
      <c r="E433" s="80" t="n">
        <v>46190</v>
      </c>
      <c r="F433" s="50" t="s">
        <v>777</v>
      </c>
      <c r="G433" s="81" t="s">
        <v>538</v>
      </c>
      <c r="H433" s="82" t="n">
        <v>1741.94</v>
      </c>
      <c r="I433" s="37" t="s">
        <v>226</v>
      </c>
      <c r="J433" s="37" t="s">
        <v>77</v>
      </c>
      <c r="K433" s="37" t="str">
        <f aca="false">TRIM(IF($B433="UNASSIGNED","NO COST CENTRE ","")&amp;IF(ISNA(MATCH($C433,Mapping!$B$7:$B$36,0)),"UNMAPPED ","")&amp;IF(COUNTIFS($C$4:$C433,$C433,$F$4:$F433,$F433,$H$4:$H433,$H433)&gt;1,"DUPLICATE ","")&amp;IF(AND(NOT(ISNA(MATCH($C433,Mapping!$B$7:$B$36,0))),$H433&lt;-'Control Panel'!$E$16),"CREDIT ","")&amp;IF(AND(NOT(ISNA(MATCH($C433,Mapping!$B$7:$B$36,0))),COUNTIFS(Budget!$B$4:$B$107,$B433,Budget!$C$4:$C$107,$D433)=0),"NO BUDGET ",""))</f>
        <v/>
      </c>
      <c r="L433" s="83" t="str">
        <f aca="false">IF($K433="","OK",$K433)</f>
        <v>OK</v>
      </c>
      <c r="M433" s="47" t="str">
        <f aca="false">IF(EXACT($L433,$I433),"ok","CHECK")</f>
        <v>ok</v>
      </c>
    </row>
    <row r="434" customFormat="false" ht="12" hidden="false" customHeight="true" outlineLevel="0" collapsed="false">
      <c r="B434" s="50" t="s">
        <v>153</v>
      </c>
      <c r="C434" s="50" t="s">
        <v>259</v>
      </c>
      <c r="D434" s="79" t="s">
        <v>111</v>
      </c>
      <c r="E434" s="80" t="n">
        <v>46191</v>
      </c>
      <c r="F434" s="50" t="s">
        <v>778</v>
      </c>
      <c r="G434" s="81" t="s">
        <v>246</v>
      </c>
      <c r="H434" s="82" t="n">
        <v>1016.87</v>
      </c>
      <c r="I434" s="37" t="s">
        <v>226</v>
      </c>
      <c r="J434" s="37" t="s">
        <v>77</v>
      </c>
      <c r="K434" s="37" t="str">
        <f aca="false">TRIM(IF($B434="UNASSIGNED","NO COST CENTRE ","")&amp;IF(ISNA(MATCH($C434,Mapping!$B$7:$B$36,0)),"UNMAPPED ","")&amp;IF(COUNTIFS($C$4:$C434,$C434,$F$4:$F434,$F434,$H$4:$H434,$H434)&gt;1,"DUPLICATE ","")&amp;IF(AND(NOT(ISNA(MATCH($C434,Mapping!$B$7:$B$36,0))),$H434&lt;-'Control Panel'!$E$16),"CREDIT ","")&amp;IF(AND(NOT(ISNA(MATCH($C434,Mapping!$B$7:$B$36,0))),COUNTIFS(Budget!$B$4:$B$107,$B434,Budget!$C$4:$C$107,$D434)=0),"NO BUDGET ",""))</f>
        <v/>
      </c>
      <c r="L434" s="83" t="str">
        <f aca="false">IF($K434="","OK",$K434)</f>
        <v>OK</v>
      </c>
      <c r="M434" s="47" t="str">
        <f aca="false">IF(EXACT($L434,$I434),"ok","CHECK")</f>
        <v>ok</v>
      </c>
    </row>
    <row r="435" customFormat="false" ht="12" hidden="false" customHeight="true" outlineLevel="0" collapsed="false">
      <c r="B435" s="50" t="s">
        <v>153</v>
      </c>
      <c r="C435" s="50" t="s">
        <v>241</v>
      </c>
      <c r="D435" s="79" t="s">
        <v>111</v>
      </c>
      <c r="E435" s="80" t="n">
        <v>46191</v>
      </c>
      <c r="F435" s="50" t="s">
        <v>779</v>
      </c>
      <c r="G435" s="81" t="s">
        <v>291</v>
      </c>
      <c r="H435" s="82" t="n">
        <v>1003.4</v>
      </c>
      <c r="I435" s="37" t="s">
        <v>226</v>
      </c>
      <c r="J435" s="37" t="s">
        <v>77</v>
      </c>
      <c r="K435" s="37" t="str">
        <f aca="false">TRIM(IF($B435="UNASSIGNED","NO COST CENTRE ","")&amp;IF(ISNA(MATCH($C435,Mapping!$B$7:$B$36,0)),"UNMAPPED ","")&amp;IF(COUNTIFS($C$4:$C435,$C435,$F$4:$F435,$F435,$H$4:$H435,$H435)&gt;1,"DUPLICATE ","")&amp;IF(AND(NOT(ISNA(MATCH($C435,Mapping!$B$7:$B$36,0))),$H435&lt;-'Control Panel'!$E$16),"CREDIT ","")&amp;IF(AND(NOT(ISNA(MATCH($C435,Mapping!$B$7:$B$36,0))),COUNTIFS(Budget!$B$4:$B$107,$B435,Budget!$C$4:$C$107,$D435)=0),"NO BUDGET ",""))</f>
        <v/>
      </c>
      <c r="L435" s="83" t="str">
        <f aca="false">IF($K435="","OK",$K435)</f>
        <v>OK</v>
      </c>
      <c r="M435" s="47" t="str">
        <f aca="false">IF(EXACT($L435,$I435),"ok","CHECK")</f>
        <v>ok</v>
      </c>
    </row>
    <row r="436" customFormat="false" ht="12" hidden="false" customHeight="true" outlineLevel="0" collapsed="false">
      <c r="B436" s="50" t="s">
        <v>153</v>
      </c>
      <c r="C436" s="50" t="s">
        <v>289</v>
      </c>
      <c r="D436" s="79" t="s">
        <v>111</v>
      </c>
      <c r="E436" s="80" t="n">
        <v>46192</v>
      </c>
      <c r="F436" s="50" t="s">
        <v>780</v>
      </c>
      <c r="G436" s="81" t="s">
        <v>261</v>
      </c>
      <c r="H436" s="82" t="n">
        <v>2029.84</v>
      </c>
      <c r="I436" s="37" t="s">
        <v>226</v>
      </c>
      <c r="J436" s="37" t="s">
        <v>77</v>
      </c>
      <c r="K436" s="37" t="str">
        <f aca="false">TRIM(IF($B436="UNASSIGNED","NO COST CENTRE ","")&amp;IF(ISNA(MATCH($C436,Mapping!$B$7:$B$36,0)),"UNMAPPED ","")&amp;IF(COUNTIFS($C$4:$C436,$C436,$F$4:$F436,$F436,$H$4:$H436,$H436)&gt;1,"DUPLICATE ","")&amp;IF(AND(NOT(ISNA(MATCH($C436,Mapping!$B$7:$B$36,0))),$H436&lt;-'Control Panel'!$E$16),"CREDIT ","")&amp;IF(AND(NOT(ISNA(MATCH($C436,Mapping!$B$7:$B$36,0))),COUNTIFS(Budget!$B$4:$B$107,$B436,Budget!$C$4:$C$107,$D436)=0),"NO BUDGET ",""))</f>
        <v/>
      </c>
      <c r="L436" s="83" t="str">
        <f aca="false">IF($K436="","OK",$K436)</f>
        <v>OK</v>
      </c>
      <c r="M436" s="47" t="str">
        <f aca="false">IF(EXACT($L436,$I436),"ok","CHECK")</f>
        <v>ok</v>
      </c>
    </row>
    <row r="437" customFormat="false" ht="12" hidden="false" customHeight="true" outlineLevel="0" collapsed="false">
      <c r="B437" s="50" t="s">
        <v>153</v>
      </c>
      <c r="C437" s="50" t="s">
        <v>279</v>
      </c>
      <c r="D437" s="79" t="s">
        <v>118</v>
      </c>
      <c r="E437" s="80" t="n">
        <v>46194</v>
      </c>
      <c r="F437" s="50" t="s">
        <v>781</v>
      </c>
      <c r="G437" s="81" t="s">
        <v>544</v>
      </c>
      <c r="H437" s="82" t="n">
        <v>1080.05</v>
      </c>
      <c r="I437" s="37" t="s">
        <v>226</v>
      </c>
      <c r="J437" s="37" t="s">
        <v>77</v>
      </c>
      <c r="K437" s="37" t="str">
        <f aca="false">TRIM(IF($B437="UNASSIGNED","NO COST CENTRE ","")&amp;IF(ISNA(MATCH($C437,Mapping!$B$7:$B$36,0)),"UNMAPPED ","")&amp;IF(COUNTIFS($C$4:$C437,$C437,$F$4:$F437,$F437,$H$4:$H437,$H437)&gt;1,"DUPLICATE ","")&amp;IF(AND(NOT(ISNA(MATCH($C437,Mapping!$B$7:$B$36,0))),$H437&lt;-'Control Panel'!$E$16),"CREDIT ","")&amp;IF(AND(NOT(ISNA(MATCH($C437,Mapping!$B$7:$B$36,0))),COUNTIFS(Budget!$B$4:$B$107,$B437,Budget!$C$4:$C$107,$D437)=0),"NO BUDGET ",""))</f>
        <v/>
      </c>
      <c r="L437" s="83" t="str">
        <f aca="false">IF($K437="","OK",$K437)</f>
        <v>OK</v>
      </c>
      <c r="M437" s="47" t="str">
        <f aca="false">IF(EXACT($L437,$I437),"ok","CHECK")</f>
        <v>ok</v>
      </c>
    </row>
    <row r="438" customFormat="false" ht="12" hidden="false" customHeight="true" outlineLevel="0" collapsed="false">
      <c r="B438" s="50" t="s">
        <v>153</v>
      </c>
      <c r="C438" s="50" t="s">
        <v>279</v>
      </c>
      <c r="D438" s="79" t="s">
        <v>118</v>
      </c>
      <c r="E438" s="80" t="n">
        <v>46196</v>
      </c>
      <c r="F438" s="50" t="s">
        <v>782</v>
      </c>
      <c r="G438" s="81" t="s">
        <v>783</v>
      </c>
      <c r="H438" s="82" t="n">
        <v>1540</v>
      </c>
      <c r="I438" s="37" t="s">
        <v>226</v>
      </c>
      <c r="J438" s="37" t="s">
        <v>77</v>
      </c>
      <c r="K438" s="37" t="str">
        <f aca="false">TRIM(IF($B438="UNASSIGNED","NO COST CENTRE ","")&amp;IF(ISNA(MATCH($C438,Mapping!$B$7:$B$36,0)),"UNMAPPED ","")&amp;IF(COUNTIFS($C$4:$C438,$C438,$F$4:$F438,$F438,$H$4:$H438,$H438)&gt;1,"DUPLICATE ","")&amp;IF(AND(NOT(ISNA(MATCH($C438,Mapping!$B$7:$B$36,0))),$H438&lt;-'Control Panel'!$E$16),"CREDIT ","")&amp;IF(AND(NOT(ISNA(MATCH($C438,Mapping!$B$7:$B$36,0))),COUNTIFS(Budget!$B$4:$B$107,$B438,Budget!$C$4:$C$107,$D438)=0),"NO BUDGET ",""))</f>
        <v/>
      </c>
      <c r="L438" s="83" t="str">
        <f aca="false">IF($K438="","OK",$K438)</f>
        <v>OK</v>
      </c>
      <c r="M438" s="47" t="str">
        <f aca="false">IF(EXACT($L438,$I438),"ok","CHECK")</f>
        <v>ok</v>
      </c>
    </row>
    <row r="439" customFormat="false" ht="12" hidden="false" customHeight="true" outlineLevel="0" collapsed="false">
      <c r="B439" s="50" t="s">
        <v>153</v>
      </c>
      <c r="C439" s="50" t="s">
        <v>219</v>
      </c>
      <c r="D439" s="79" t="s">
        <v>118</v>
      </c>
      <c r="E439" s="80" t="n">
        <v>46197</v>
      </c>
      <c r="F439" s="50" t="s">
        <v>784</v>
      </c>
      <c r="G439" s="81" t="s">
        <v>684</v>
      </c>
      <c r="H439" s="82" t="n">
        <v>1621.01</v>
      </c>
      <c r="I439" s="37" t="s">
        <v>226</v>
      </c>
      <c r="J439" s="37" t="s">
        <v>77</v>
      </c>
      <c r="K439" s="37" t="str">
        <f aca="false">TRIM(IF($B439="UNASSIGNED","NO COST CENTRE ","")&amp;IF(ISNA(MATCH($C439,Mapping!$B$7:$B$36,0)),"UNMAPPED ","")&amp;IF(COUNTIFS($C$4:$C439,$C439,$F$4:$F439,$F439,$H$4:$H439,$H439)&gt;1,"DUPLICATE ","")&amp;IF(AND(NOT(ISNA(MATCH($C439,Mapping!$B$7:$B$36,0))),$H439&lt;-'Control Panel'!$E$16),"CREDIT ","")&amp;IF(AND(NOT(ISNA(MATCH($C439,Mapping!$B$7:$B$36,0))),COUNTIFS(Budget!$B$4:$B$107,$B439,Budget!$C$4:$C$107,$D439)=0),"NO BUDGET ",""))</f>
        <v/>
      </c>
      <c r="L439" s="83" t="str">
        <f aca="false">IF($K439="","OK",$K439)</f>
        <v>OK</v>
      </c>
      <c r="M439" s="47" t="str">
        <f aca="false">IF(EXACT($L439,$I439),"ok","CHECK")</f>
        <v>ok</v>
      </c>
    </row>
    <row r="440" customFormat="false" ht="12" hidden="false" customHeight="true" outlineLevel="0" collapsed="false">
      <c r="B440" s="50" t="s">
        <v>153</v>
      </c>
      <c r="C440" s="50" t="s">
        <v>259</v>
      </c>
      <c r="D440" s="79" t="s">
        <v>111</v>
      </c>
      <c r="E440" s="80" t="n">
        <v>46197</v>
      </c>
      <c r="F440" s="50" t="s">
        <v>785</v>
      </c>
      <c r="G440" s="81" t="s">
        <v>243</v>
      </c>
      <c r="H440" s="82" t="n">
        <v>1525.51</v>
      </c>
      <c r="I440" s="37" t="s">
        <v>226</v>
      </c>
      <c r="J440" s="37" t="s">
        <v>77</v>
      </c>
      <c r="K440" s="37" t="str">
        <f aca="false">TRIM(IF($B440="UNASSIGNED","NO COST CENTRE ","")&amp;IF(ISNA(MATCH($C440,Mapping!$B$7:$B$36,0)),"UNMAPPED ","")&amp;IF(COUNTIFS($C$4:$C440,$C440,$F$4:$F440,$F440,$H$4:$H440,$H440)&gt;1,"DUPLICATE ","")&amp;IF(AND(NOT(ISNA(MATCH($C440,Mapping!$B$7:$B$36,0))),$H440&lt;-'Control Panel'!$E$16),"CREDIT ","")&amp;IF(AND(NOT(ISNA(MATCH($C440,Mapping!$B$7:$B$36,0))),COUNTIFS(Budget!$B$4:$B$107,$B440,Budget!$C$4:$C$107,$D440)=0),"NO BUDGET ",""))</f>
        <v/>
      </c>
      <c r="L440" s="83" t="str">
        <f aca="false">IF($K440="","OK",$K440)</f>
        <v>OK</v>
      </c>
      <c r="M440" s="47" t="str">
        <f aca="false">IF(EXACT($L440,$I440),"ok","CHECK")</f>
        <v>ok</v>
      </c>
    </row>
    <row r="441" customFormat="false" ht="12" hidden="false" customHeight="true" outlineLevel="0" collapsed="false">
      <c r="B441" s="50" t="s">
        <v>153</v>
      </c>
      <c r="C441" s="50" t="s">
        <v>337</v>
      </c>
      <c r="D441" s="79" t="s">
        <v>109</v>
      </c>
      <c r="E441" s="80" t="n">
        <v>46199</v>
      </c>
      <c r="F441" s="50" t="s">
        <v>786</v>
      </c>
      <c r="G441" s="81" t="s">
        <v>354</v>
      </c>
      <c r="H441" s="82" t="n">
        <v>1996.08</v>
      </c>
      <c r="I441" s="37" t="s">
        <v>226</v>
      </c>
      <c r="J441" s="37" t="s">
        <v>77</v>
      </c>
      <c r="K441" s="37" t="str">
        <f aca="false">TRIM(IF($B441="UNASSIGNED","NO COST CENTRE ","")&amp;IF(ISNA(MATCH($C441,Mapping!$B$7:$B$36,0)),"UNMAPPED ","")&amp;IF(COUNTIFS($C$4:$C441,$C441,$F$4:$F441,$F441,$H$4:$H441,$H441)&gt;1,"DUPLICATE ","")&amp;IF(AND(NOT(ISNA(MATCH($C441,Mapping!$B$7:$B$36,0))),$H441&lt;-'Control Panel'!$E$16),"CREDIT ","")&amp;IF(AND(NOT(ISNA(MATCH($C441,Mapping!$B$7:$B$36,0))),COUNTIFS(Budget!$B$4:$B$107,$B441,Budget!$C$4:$C$107,$D441)=0),"NO BUDGET ",""))</f>
        <v/>
      </c>
      <c r="L441" s="83" t="str">
        <f aca="false">IF($K441="","OK",$K441)</f>
        <v>OK</v>
      </c>
      <c r="M441" s="47" t="str">
        <f aca="false">IF(EXACT($L441,$I441),"ok","CHECK")</f>
        <v>ok</v>
      </c>
    </row>
    <row r="442" customFormat="false" ht="12" hidden="false" customHeight="true" outlineLevel="0" collapsed="false">
      <c r="B442" s="50" t="s">
        <v>153</v>
      </c>
      <c r="C442" s="50" t="s">
        <v>259</v>
      </c>
      <c r="D442" s="79" t="s">
        <v>111</v>
      </c>
      <c r="E442" s="80" t="n">
        <v>46199</v>
      </c>
      <c r="F442" s="50" t="s">
        <v>787</v>
      </c>
      <c r="G442" s="81" t="s">
        <v>243</v>
      </c>
      <c r="H442" s="82" t="n">
        <v>1208.7</v>
      </c>
      <c r="I442" s="37" t="s">
        <v>226</v>
      </c>
      <c r="J442" s="37" t="s">
        <v>77</v>
      </c>
      <c r="K442" s="37" t="str">
        <f aca="false">TRIM(IF($B442="UNASSIGNED","NO COST CENTRE ","")&amp;IF(ISNA(MATCH($C442,Mapping!$B$7:$B$36,0)),"UNMAPPED ","")&amp;IF(COUNTIFS($C$4:$C442,$C442,$F$4:$F442,$F442,$H$4:$H442,$H442)&gt;1,"DUPLICATE ","")&amp;IF(AND(NOT(ISNA(MATCH($C442,Mapping!$B$7:$B$36,0))),$H442&lt;-'Control Panel'!$E$16),"CREDIT ","")&amp;IF(AND(NOT(ISNA(MATCH($C442,Mapping!$B$7:$B$36,0))),COUNTIFS(Budget!$B$4:$B$107,$B442,Budget!$C$4:$C$107,$D442)=0),"NO BUDGET ",""))</f>
        <v/>
      </c>
      <c r="L442" s="83" t="str">
        <f aca="false">IF($K442="","OK",$K442)</f>
        <v>OK</v>
      </c>
      <c r="M442" s="47" t="str">
        <f aca="false">IF(EXACT($L442,$I442),"ok","CHECK")</f>
        <v>ok</v>
      </c>
    </row>
    <row r="443" customFormat="false" ht="12" hidden="false" customHeight="true" outlineLevel="0" collapsed="false">
      <c r="B443" s="50" t="s">
        <v>153</v>
      </c>
      <c r="C443" s="50" t="s">
        <v>235</v>
      </c>
      <c r="D443" s="79" t="s">
        <v>122</v>
      </c>
      <c r="E443" s="80" t="n">
        <v>46200</v>
      </c>
      <c r="F443" s="50" t="s">
        <v>788</v>
      </c>
      <c r="G443" s="81" t="s">
        <v>237</v>
      </c>
      <c r="H443" s="82" t="n">
        <v>1748.95</v>
      </c>
      <c r="I443" s="37" t="s">
        <v>226</v>
      </c>
      <c r="J443" s="37" t="s">
        <v>77</v>
      </c>
      <c r="K443" s="37" t="str">
        <f aca="false">TRIM(IF($B443="UNASSIGNED","NO COST CENTRE ","")&amp;IF(ISNA(MATCH($C443,Mapping!$B$7:$B$36,0)),"UNMAPPED ","")&amp;IF(COUNTIFS($C$4:$C443,$C443,$F$4:$F443,$F443,$H$4:$H443,$H443)&gt;1,"DUPLICATE ","")&amp;IF(AND(NOT(ISNA(MATCH($C443,Mapping!$B$7:$B$36,0))),$H443&lt;-'Control Panel'!$E$16),"CREDIT ","")&amp;IF(AND(NOT(ISNA(MATCH($C443,Mapping!$B$7:$B$36,0))),COUNTIFS(Budget!$B$4:$B$107,$B443,Budget!$C$4:$C$107,$D443)=0),"NO BUDGET ",""))</f>
        <v/>
      </c>
      <c r="L443" s="83" t="str">
        <f aca="false">IF($K443="","OK",$K443)</f>
        <v>OK</v>
      </c>
      <c r="M443" s="47" t="str">
        <f aca="false">IF(EXACT($L443,$I443),"ok","CHECK")</f>
        <v>ok</v>
      </c>
    </row>
    <row r="444" customFormat="false" ht="12" hidden="false" customHeight="true" outlineLevel="0" collapsed="false">
      <c r="B444" s="50" t="s">
        <v>154</v>
      </c>
      <c r="C444" s="50" t="s">
        <v>362</v>
      </c>
      <c r="D444" s="79" t="s">
        <v>120</v>
      </c>
      <c r="E444" s="80" t="n">
        <v>46175</v>
      </c>
      <c r="F444" s="50" t="s">
        <v>789</v>
      </c>
      <c r="G444" s="81" t="s">
        <v>790</v>
      </c>
      <c r="H444" s="82" t="n">
        <v>1283.2</v>
      </c>
      <c r="I444" s="37" t="s">
        <v>226</v>
      </c>
      <c r="J444" s="37" t="s">
        <v>77</v>
      </c>
      <c r="K444" s="37" t="str">
        <f aca="false">TRIM(IF($B444="UNASSIGNED","NO COST CENTRE ","")&amp;IF(ISNA(MATCH($C444,Mapping!$B$7:$B$36,0)),"UNMAPPED ","")&amp;IF(COUNTIFS($C$4:$C444,$C444,$F$4:$F444,$F444,$H$4:$H444,$H444)&gt;1,"DUPLICATE ","")&amp;IF(AND(NOT(ISNA(MATCH($C444,Mapping!$B$7:$B$36,0))),$H444&lt;-'Control Panel'!$E$16),"CREDIT ","")&amp;IF(AND(NOT(ISNA(MATCH($C444,Mapping!$B$7:$B$36,0))),COUNTIFS(Budget!$B$4:$B$107,$B444,Budget!$C$4:$C$107,$D444)=0),"NO BUDGET ",""))</f>
        <v/>
      </c>
      <c r="L444" s="83" t="str">
        <f aca="false">IF($K444="","OK",$K444)</f>
        <v>OK</v>
      </c>
      <c r="M444" s="47" t="str">
        <f aca="false">IF(EXACT($L444,$I444),"ok","CHECK")</f>
        <v>ok</v>
      </c>
    </row>
    <row r="445" customFormat="false" ht="12" hidden="false" customHeight="true" outlineLevel="0" collapsed="false">
      <c r="B445" s="50" t="s">
        <v>154</v>
      </c>
      <c r="C445" s="50" t="s">
        <v>227</v>
      </c>
      <c r="D445" s="79" t="s">
        <v>112</v>
      </c>
      <c r="E445" s="80" t="n">
        <v>46176</v>
      </c>
      <c r="F445" s="50" t="s">
        <v>791</v>
      </c>
      <c r="G445" s="81" t="s">
        <v>499</v>
      </c>
      <c r="H445" s="82" t="n">
        <v>4801.55</v>
      </c>
      <c r="I445" s="37" t="s">
        <v>226</v>
      </c>
      <c r="J445" s="37" t="s">
        <v>77</v>
      </c>
      <c r="K445" s="37" t="str">
        <f aca="false">TRIM(IF($B445="UNASSIGNED","NO COST CENTRE ","")&amp;IF(ISNA(MATCH($C445,Mapping!$B$7:$B$36,0)),"UNMAPPED ","")&amp;IF(COUNTIFS($C$4:$C445,$C445,$F$4:$F445,$F445,$H$4:$H445,$H445)&gt;1,"DUPLICATE ","")&amp;IF(AND(NOT(ISNA(MATCH($C445,Mapping!$B$7:$B$36,0))),$H445&lt;-'Control Panel'!$E$16),"CREDIT ","")&amp;IF(AND(NOT(ISNA(MATCH($C445,Mapping!$B$7:$B$36,0))),COUNTIFS(Budget!$B$4:$B$107,$B445,Budget!$C$4:$C$107,$D445)=0),"NO BUDGET ",""))</f>
        <v/>
      </c>
      <c r="L445" s="83" t="str">
        <f aca="false">IF($K445="","OK",$K445)</f>
        <v>OK</v>
      </c>
      <c r="M445" s="47" t="str">
        <f aca="false">IF(EXACT($L445,$I445),"ok","CHECK")</f>
        <v>ok</v>
      </c>
    </row>
    <row r="446" customFormat="false" ht="12" hidden="false" customHeight="true" outlineLevel="0" collapsed="false">
      <c r="B446" s="50" t="s">
        <v>154</v>
      </c>
      <c r="C446" s="50" t="s">
        <v>241</v>
      </c>
      <c r="D446" s="79" t="s">
        <v>111</v>
      </c>
      <c r="E446" s="80" t="n">
        <v>46177</v>
      </c>
      <c r="F446" s="50" t="s">
        <v>792</v>
      </c>
      <c r="G446" s="81" t="s">
        <v>360</v>
      </c>
      <c r="H446" s="82" t="n">
        <v>939.56</v>
      </c>
      <c r="I446" s="37" t="s">
        <v>226</v>
      </c>
      <c r="J446" s="37" t="s">
        <v>77</v>
      </c>
      <c r="K446" s="37" t="str">
        <f aca="false">TRIM(IF($B446="UNASSIGNED","NO COST CENTRE ","")&amp;IF(ISNA(MATCH($C446,Mapping!$B$7:$B$36,0)),"UNMAPPED ","")&amp;IF(COUNTIFS($C$4:$C446,$C446,$F$4:$F446,$F446,$H$4:$H446,$H446)&gt;1,"DUPLICATE ","")&amp;IF(AND(NOT(ISNA(MATCH($C446,Mapping!$B$7:$B$36,0))),$H446&lt;-'Control Panel'!$E$16),"CREDIT ","")&amp;IF(AND(NOT(ISNA(MATCH($C446,Mapping!$B$7:$B$36,0))),COUNTIFS(Budget!$B$4:$B$107,$B446,Budget!$C$4:$C$107,$D446)=0),"NO BUDGET ",""))</f>
        <v/>
      </c>
      <c r="L446" s="83" t="str">
        <f aca="false">IF($K446="","OK",$K446)</f>
        <v>OK</v>
      </c>
      <c r="M446" s="47" t="str">
        <f aca="false">IF(EXACT($L446,$I446),"ok","CHECK")</f>
        <v>ok</v>
      </c>
    </row>
    <row r="447" customFormat="false" ht="12" hidden="false" customHeight="true" outlineLevel="0" collapsed="false">
      <c r="B447" s="50" t="s">
        <v>154</v>
      </c>
      <c r="C447" s="50" t="s">
        <v>259</v>
      </c>
      <c r="D447" s="79" t="s">
        <v>111</v>
      </c>
      <c r="E447" s="80" t="n">
        <v>46178</v>
      </c>
      <c r="F447" s="50" t="s">
        <v>793</v>
      </c>
      <c r="G447" s="81" t="s">
        <v>246</v>
      </c>
      <c r="H447" s="82" t="n">
        <v>1115.27</v>
      </c>
      <c r="I447" s="37" t="s">
        <v>226</v>
      </c>
      <c r="J447" s="37" t="s">
        <v>77</v>
      </c>
      <c r="K447" s="37" t="str">
        <f aca="false">TRIM(IF($B447="UNASSIGNED","NO COST CENTRE ","")&amp;IF(ISNA(MATCH($C447,Mapping!$B$7:$B$36,0)),"UNMAPPED ","")&amp;IF(COUNTIFS($C$4:$C447,$C447,$F$4:$F447,$F447,$H$4:$H447,$H447)&gt;1,"DUPLICATE ","")&amp;IF(AND(NOT(ISNA(MATCH($C447,Mapping!$B$7:$B$36,0))),$H447&lt;-'Control Panel'!$E$16),"CREDIT ","")&amp;IF(AND(NOT(ISNA(MATCH($C447,Mapping!$B$7:$B$36,0))),COUNTIFS(Budget!$B$4:$B$107,$B447,Budget!$C$4:$C$107,$D447)=0),"NO BUDGET ",""))</f>
        <v/>
      </c>
      <c r="L447" s="83" t="str">
        <f aca="false">IF($K447="","OK",$K447)</f>
        <v>OK</v>
      </c>
      <c r="M447" s="47" t="str">
        <f aca="false">IF(EXACT($L447,$I447),"ok","CHECK")</f>
        <v>ok</v>
      </c>
    </row>
    <row r="448" customFormat="false" ht="12" hidden="false" customHeight="true" outlineLevel="0" collapsed="false">
      <c r="B448" s="50" t="s">
        <v>154</v>
      </c>
      <c r="C448" s="50" t="s">
        <v>289</v>
      </c>
      <c r="D448" s="79" t="s">
        <v>111</v>
      </c>
      <c r="E448" s="80" t="n">
        <v>46179</v>
      </c>
      <c r="F448" s="50" t="s">
        <v>794</v>
      </c>
      <c r="G448" s="81" t="s">
        <v>243</v>
      </c>
      <c r="H448" s="82" t="n">
        <v>1419.27</v>
      </c>
      <c r="I448" s="37" t="s">
        <v>226</v>
      </c>
      <c r="J448" s="37" t="s">
        <v>77</v>
      </c>
      <c r="K448" s="37" t="str">
        <f aca="false">TRIM(IF($B448="UNASSIGNED","NO COST CENTRE ","")&amp;IF(ISNA(MATCH($C448,Mapping!$B$7:$B$36,0)),"UNMAPPED ","")&amp;IF(COUNTIFS($C$4:$C448,$C448,$F$4:$F448,$F448,$H$4:$H448,$H448)&gt;1,"DUPLICATE ","")&amp;IF(AND(NOT(ISNA(MATCH($C448,Mapping!$B$7:$B$36,0))),$H448&lt;-'Control Panel'!$E$16),"CREDIT ","")&amp;IF(AND(NOT(ISNA(MATCH($C448,Mapping!$B$7:$B$36,0))),COUNTIFS(Budget!$B$4:$B$107,$B448,Budget!$C$4:$C$107,$D448)=0),"NO BUDGET ",""))</f>
        <v/>
      </c>
      <c r="L448" s="83" t="str">
        <f aca="false">IF($K448="","OK",$K448)</f>
        <v>OK</v>
      </c>
      <c r="M448" s="47" t="str">
        <f aca="false">IF(EXACT($L448,$I448),"ok","CHECK")</f>
        <v>ok</v>
      </c>
    </row>
    <row r="449" customFormat="false" ht="12" hidden="false" customHeight="true" outlineLevel="0" collapsed="false">
      <c r="B449" s="50" t="s">
        <v>154</v>
      </c>
      <c r="C449" s="50" t="s">
        <v>244</v>
      </c>
      <c r="D449" s="79" t="s">
        <v>111</v>
      </c>
      <c r="E449" s="80" t="n">
        <v>46180</v>
      </c>
      <c r="F449" s="50" t="s">
        <v>795</v>
      </c>
      <c r="G449" s="81" t="s">
        <v>246</v>
      </c>
      <c r="H449" s="82" t="n">
        <v>1646.59</v>
      </c>
      <c r="I449" s="37" t="s">
        <v>226</v>
      </c>
      <c r="J449" s="37" t="s">
        <v>77</v>
      </c>
      <c r="K449" s="37" t="str">
        <f aca="false">TRIM(IF($B449="UNASSIGNED","NO COST CENTRE ","")&amp;IF(ISNA(MATCH($C449,Mapping!$B$7:$B$36,0)),"UNMAPPED ","")&amp;IF(COUNTIFS($C$4:$C449,$C449,$F$4:$F449,$F449,$H$4:$H449,$H449)&gt;1,"DUPLICATE ","")&amp;IF(AND(NOT(ISNA(MATCH($C449,Mapping!$B$7:$B$36,0))),$H449&lt;-'Control Panel'!$E$16),"CREDIT ","")&amp;IF(AND(NOT(ISNA(MATCH($C449,Mapping!$B$7:$B$36,0))),COUNTIFS(Budget!$B$4:$B$107,$B449,Budget!$C$4:$C$107,$D449)=0),"NO BUDGET ",""))</f>
        <v/>
      </c>
      <c r="L449" s="83" t="str">
        <f aca="false">IF($K449="","OK",$K449)</f>
        <v>OK</v>
      </c>
      <c r="M449" s="47" t="str">
        <f aca="false">IF(EXACT($L449,$I449),"ok","CHECK")</f>
        <v>ok</v>
      </c>
    </row>
    <row r="450" customFormat="false" ht="12" hidden="false" customHeight="true" outlineLevel="0" collapsed="false">
      <c r="B450" s="50" t="s">
        <v>154</v>
      </c>
      <c r="C450" s="50" t="s">
        <v>244</v>
      </c>
      <c r="D450" s="79" t="s">
        <v>111</v>
      </c>
      <c r="E450" s="80" t="n">
        <v>46180</v>
      </c>
      <c r="F450" s="50" t="s">
        <v>796</v>
      </c>
      <c r="G450" s="81" t="s">
        <v>360</v>
      </c>
      <c r="H450" s="82" t="n">
        <v>936.77</v>
      </c>
      <c r="I450" s="37" t="s">
        <v>226</v>
      </c>
      <c r="J450" s="37" t="s">
        <v>77</v>
      </c>
      <c r="K450" s="37" t="str">
        <f aca="false">TRIM(IF($B450="UNASSIGNED","NO COST CENTRE ","")&amp;IF(ISNA(MATCH($C450,Mapping!$B$7:$B$36,0)),"UNMAPPED ","")&amp;IF(COUNTIFS($C$4:$C450,$C450,$F$4:$F450,$F450,$H$4:$H450,$H450)&gt;1,"DUPLICATE ","")&amp;IF(AND(NOT(ISNA(MATCH($C450,Mapping!$B$7:$B$36,0))),$H450&lt;-'Control Panel'!$E$16),"CREDIT ","")&amp;IF(AND(NOT(ISNA(MATCH($C450,Mapping!$B$7:$B$36,0))),COUNTIFS(Budget!$B$4:$B$107,$B450,Budget!$C$4:$C$107,$D450)=0),"NO BUDGET ",""))</f>
        <v/>
      </c>
      <c r="L450" s="83" t="str">
        <f aca="false">IF($K450="","OK",$K450)</f>
        <v>OK</v>
      </c>
      <c r="M450" s="47" t="str">
        <f aca="false">IF(EXACT($L450,$I450),"ok","CHECK")</f>
        <v>ok</v>
      </c>
    </row>
    <row r="451" customFormat="false" ht="12" hidden="false" customHeight="true" outlineLevel="0" collapsed="false">
      <c r="B451" s="50" t="s">
        <v>154</v>
      </c>
      <c r="C451" s="50" t="s">
        <v>301</v>
      </c>
      <c r="D451" s="79" t="s">
        <v>122</v>
      </c>
      <c r="E451" s="80" t="n">
        <v>46181</v>
      </c>
      <c r="F451" s="50" t="s">
        <v>797</v>
      </c>
      <c r="G451" s="81" t="s">
        <v>237</v>
      </c>
      <c r="H451" s="82" t="n">
        <v>1372.79</v>
      </c>
      <c r="I451" s="37" t="s">
        <v>226</v>
      </c>
      <c r="J451" s="37" t="s">
        <v>77</v>
      </c>
      <c r="K451" s="37" t="str">
        <f aca="false">TRIM(IF($B451="UNASSIGNED","NO COST CENTRE ","")&amp;IF(ISNA(MATCH($C451,Mapping!$B$7:$B$36,0)),"UNMAPPED ","")&amp;IF(COUNTIFS($C$4:$C451,$C451,$F$4:$F451,$F451,$H$4:$H451,$H451)&gt;1,"DUPLICATE ","")&amp;IF(AND(NOT(ISNA(MATCH($C451,Mapping!$B$7:$B$36,0))),$H451&lt;-'Control Panel'!$E$16),"CREDIT ","")&amp;IF(AND(NOT(ISNA(MATCH($C451,Mapping!$B$7:$B$36,0))),COUNTIFS(Budget!$B$4:$B$107,$B451,Budget!$C$4:$C$107,$D451)=0),"NO BUDGET ",""))</f>
        <v/>
      </c>
      <c r="L451" s="83" t="str">
        <f aca="false">IF($K451="","OK",$K451)</f>
        <v>OK</v>
      </c>
      <c r="M451" s="47" t="str">
        <f aca="false">IF(EXACT($L451,$I451),"ok","CHECK")</f>
        <v>ok</v>
      </c>
    </row>
    <row r="452" customFormat="false" ht="12" hidden="false" customHeight="true" outlineLevel="0" collapsed="false">
      <c r="B452" s="50" t="s">
        <v>154</v>
      </c>
      <c r="C452" s="50" t="s">
        <v>289</v>
      </c>
      <c r="D452" s="79" t="s">
        <v>111</v>
      </c>
      <c r="E452" s="80" t="n">
        <v>46181</v>
      </c>
      <c r="F452" s="50" t="s">
        <v>798</v>
      </c>
      <c r="G452" s="81" t="s">
        <v>342</v>
      </c>
      <c r="H452" s="82" t="n">
        <v>1483.89</v>
      </c>
      <c r="I452" s="37" t="s">
        <v>226</v>
      </c>
      <c r="J452" s="37" t="s">
        <v>77</v>
      </c>
      <c r="K452" s="37" t="str">
        <f aca="false">TRIM(IF($B452="UNASSIGNED","NO COST CENTRE ","")&amp;IF(ISNA(MATCH($C452,Mapping!$B$7:$B$36,0)),"UNMAPPED ","")&amp;IF(COUNTIFS($C$4:$C452,$C452,$F$4:$F452,$F452,$H$4:$H452,$H452)&gt;1,"DUPLICATE ","")&amp;IF(AND(NOT(ISNA(MATCH($C452,Mapping!$B$7:$B$36,0))),$H452&lt;-'Control Panel'!$E$16),"CREDIT ","")&amp;IF(AND(NOT(ISNA(MATCH($C452,Mapping!$B$7:$B$36,0))),COUNTIFS(Budget!$B$4:$B$107,$B452,Budget!$C$4:$C$107,$D452)=0),"NO BUDGET ",""))</f>
        <v/>
      </c>
      <c r="L452" s="83" t="str">
        <f aca="false">IF($K452="","OK",$K452)</f>
        <v>OK</v>
      </c>
      <c r="M452" s="47" t="str">
        <f aca="false">IF(EXACT($L452,$I452),"ok","CHECK")</f>
        <v>ok</v>
      </c>
    </row>
    <row r="453" customFormat="false" ht="12" hidden="false" customHeight="true" outlineLevel="0" collapsed="false">
      <c r="B453" s="50" t="s">
        <v>154</v>
      </c>
      <c r="C453" s="50" t="s">
        <v>259</v>
      </c>
      <c r="D453" s="79" t="s">
        <v>111</v>
      </c>
      <c r="E453" s="80" t="n">
        <v>46183</v>
      </c>
      <c r="F453" s="50" t="s">
        <v>799</v>
      </c>
      <c r="G453" s="81" t="s">
        <v>261</v>
      </c>
      <c r="H453" s="82" t="n">
        <v>1782.67</v>
      </c>
      <c r="I453" s="37" t="s">
        <v>226</v>
      </c>
      <c r="J453" s="37" t="s">
        <v>77</v>
      </c>
      <c r="K453" s="37" t="str">
        <f aca="false">TRIM(IF($B453="UNASSIGNED","NO COST CENTRE ","")&amp;IF(ISNA(MATCH($C453,Mapping!$B$7:$B$36,0)),"UNMAPPED ","")&amp;IF(COUNTIFS($C$4:$C453,$C453,$F$4:$F453,$F453,$H$4:$H453,$H453)&gt;1,"DUPLICATE ","")&amp;IF(AND(NOT(ISNA(MATCH($C453,Mapping!$B$7:$B$36,0))),$H453&lt;-'Control Panel'!$E$16),"CREDIT ","")&amp;IF(AND(NOT(ISNA(MATCH($C453,Mapping!$B$7:$B$36,0))),COUNTIFS(Budget!$B$4:$B$107,$B453,Budget!$C$4:$C$107,$D453)=0),"NO BUDGET ",""))</f>
        <v/>
      </c>
      <c r="L453" s="83" t="str">
        <f aca="false">IF($K453="","OK",$K453)</f>
        <v>OK</v>
      </c>
      <c r="M453" s="47" t="str">
        <f aca="false">IF(EXACT($L453,$I453),"ok","CHECK")</f>
        <v>ok</v>
      </c>
    </row>
    <row r="454" customFormat="false" ht="12" hidden="false" customHeight="true" outlineLevel="0" collapsed="false">
      <c r="B454" s="50" t="s">
        <v>154</v>
      </c>
      <c r="C454" s="50" t="s">
        <v>244</v>
      </c>
      <c r="D454" s="79" t="s">
        <v>111</v>
      </c>
      <c r="E454" s="80" t="n">
        <v>46183</v>
      </c>
      <c r="F454" s="50" t="s">
        <v>800</v>
      </c>
      <c r="G454" s="81" t="s">
        <v>261</v>
      </c>
      <c r="H454" s="82" t="n">
        <v>1992.42</v>
      </c>
      <c r="I454" s="37" t="s">
        <v>226</v>
      </c>
      <c r="J454" s="37" t="s">
        <v>77</v>
      </c>
      <c r="K454" s="37" t="str">
        <f aca="false">TRIM(IF($B454="UNASSIGNED","NO COST CENTRE ","")&amp;IF(ISNA(MATCH($C454,Mapping!$B$7:$B$36,0)),"UNMAPPED ","")&amp;IF(COUNTIFS($C$4:$C454,$C454,$F$4:$F454,$F454,$H$4:$H454,$H454)&gt;1,"DUPLICATE ","")&amp;IF(AND(NOT(ISNA(MATCH($C454,Mapping!$B$7:$B$36,0))),$H454&lt;-'Control Panel'!$E$16),"CREDIT ","")&amp;IF(AND(NOT(ISNA(MATCH($C454,Mapping!$B$7:$B$36,0))),COUNTIFS(Budget!$B$4:$B$107,$B454,Budget!$C$4:$C$107,$D454)=0),"NO BUDGET ",""))</f>
        <v/>
      </c>
      <c r="L454" s="83" t="str">
        <f aca="false">IF($K454="","OK",$K454)</f>
        <v>OK</v>
      </c>
      <c r="M454" s="47" t="str">
        <f aca="false">IF(EXACT($L454,$I454),"ok","CHECK")</f>
        <v>ok</v>
      </c>
    </row>
    <row r="455" customFormat="false" ht="12" hidden="false" customHeight="true" outlineLevel="0" collapsed="false">
      <c r="B455" s="50" t="s">
        <v>154</v>
      </c>
      <c r="C455" s="50" t="s">
        <v>273</v>
      </c>
      <c r="D455" s="79" t="s">
        <v>114</v>
      </c>
      <c r="E455" s="80" t="n">
        <v>46186</v>
      </c>
      <c r="F455" s="50" t="s">
        <v>801</v>
      </c>
      <c r="G455" s="81" t="s">
        <v>275</v>
      </c>
      <c r="H455" s="82" t="n">
        <v>905.13</v>
      </c>
      <c r="I455" s="37" t="s">
        <v>226</v>
      </c>
      <c r="J455" s="37" t="s">
        <v>77</v>
      </c>
      <c r="K455" s="37" t="str">
        <f aca="false">TRIM(IF($B455="UNASSIGNED","NO COST CENTRE ","")&amp;IF(ISNA(MATCH($C455,Mapping!$B$7:$B$36,0)),"UNMAPPED ","")&amp;IF(COUNTIFS($C$4:$C455,$C455,$F$4:$F455,$F455,$H$4:$H455,$H455)&gt;1,"DUPLICATE ","")&amp;IF(AND(NOT(ISNA(MATCH($C455,Mapping!$B$7:$B$36,0))),$H455&lt;-'Control Panel'!$E$16),"CREDIT ","")&amp;IF(AND(NOT(ISNA(MATCH($C455,Mapping!$B$7:$B$36,0))),COUNTIFS(Budget!$B$4:$B$107,$B455,Budget!$C$4:$C$107,$D455)=0),"NO BUDGET ",""))</f>
        <v/>
      </c>
      <c r="L455" s="83" t="str">
        <f aca="false">IF($K455="","OK",$K455)</f>
        <v>OK</v>
      </c>
      <c r="M455" s="47" t="str">
        <f aca="false">IF(EXACT($L455,$I455),"ok","CHECK")</f>
        <v>ok</v>
      </c>
    </row>
    <row r="456" customFormat="false" ht="12" hidden="false" customHeight="true" outlineLevel="0" collapsed="false">
      <c r="B456" s="50" t="s">
        <v>154</v>
      </c>
      <c r="C456" s="50" t="s">
        <v>362</v>
      </c>
      <c r="D456" s="79" t="s">
        <v>120</v>
      </c>
      <c r="E456" s="80" t="n">
        <v>46187</v>
      </c>
      <c r="F456" s="50" t="s">
        <v>802</v>
      </c>
      <c r="G456" s="81" t="s">
        <v>790</v>
      </c>
      <c r="H456" s="82" t="n">
        <v>979.85</v>
      </c>
      <c r="I456" s="37" t="s">
        <v>226</v>
      </c>
      <c r="J456" s="37" t="s">
        <v>77</v>
      </c>
      <c r="K456" s="37" t="str">
        <f aca="false">TRIM(IF($B456="UNASSIGNED","NO COST CENTRE ","")&amp;IF(ISNA(MATCH($C456,Mapping!$B$7:$B$36,0)),"UNMAPPED ","")&amp;IF(COUNTIFS($C$4:$C456,$C456,$F$4:$F456,$F456,$H$4:$H456,$H456)&gt;1,"DUPLICATE ","")&amp;IF(AND(NOT(ISNA(MATCH($C456,Mapping!$B$7:$B$36,0))),$H456&lt;-'Control Panel'!$E$16),"CREDIT ","")&amp;IF(AND(NOT(ISNA(MATCH($C456,Mapping!$B$7:$B$36,0))),COUNTIFS(Budget!$B$4:$B$107,$B456,Budget!$C$4:$C$107,$D456)=0),"NO BUDGET ",""))</f>
        <v/>
      </c>
      <c r="L456" s="83" t="str">
        <f aca="false">IF($K456="","OK",$K456)</f>
        <v>OK</v>
      </c>
      <c r="M456" s="47" t="str">
        <f aca="false">IF(EXACT($L456,$I456),"ok","CHECK")</f>
        <v>ok</v>
      </c>
    </row>
    <row r="457" customFormat="false" ht="12" hidden="false" customHeight="true" outlineLevel="0" collapsed="false">
      <c r="B457" s="50" t="s">
        <v>154</v>
      </c>
      <c r="C457" s="50" t="s">
        <v>241</v>
      </c>
      <c r="D457" s="79" t="s">
        <v>111</v>
      </c>
      <c r="E457" s="80" t="n">
        <v>46188</v>
      </c>
      <c r="F457" s="50" t="s">
        <v>803</v>
      </c>
      <c r="G457" s="81" t="s">
        <v>243</v>
      </c>
      <c r="H457" s="82" t="n">
        <v>1262.31</v>
      </c>
      <c r="I457" s="37" t="s">
        <v>226</v>
      </c>
      <c r="J457" s="37" t="s">
        <v>77</v>
      </c>
      <c r="K457" s="37" t="str">
        <f aca="false">TRIM(IF($B457="UNASSIGNED","NO COST CENTRE ","")&amp;IF(ISNA(MATCH($C457,Mapping!$B$7:$B$36,0)),"UNMAPPED ","")&amp;IF(COUNTIFS($C$4:$C457,$C457,$F$4:$F457,$F457,$H$4:$H457,$H457)&gt;1,"DUPLICATE ","")&amp;IF(AND(NOT(ISNA(MATCH($C457,Mapping!$B$7:$B$36,0))),$H457&lt;-'Control Panel'!$E$16),"CREDIT ","")&amp;IF(AND(NOT(ISNA(MATCH($C457,Mapping!$B$7:$B$36,0))),COUNTIFS(Budget!$B$4:$B$107,$B457,Budget!$C$4:$C$107,$D457)=0),"NO BUDGET ",""))</f>
        <v/>
      </c>
      <c r="L457" s="83" t="str">
        <f aca="false">IF($K457="","OK",$K457)</f>
        <v>OK</v>
      </c>
      <c r="M457" s="47" t="str">
        <f aca="false">IF(EXACT($L457,$I457),"ok","CHECK")</f>
        <v>ok</v>
      </c>
    </row>
    <row r="458" customFormat="false" ht="12" hidden="false" customHeight="true" outlineLevel="0" collapsed="false">
      <c r="B458" s="50" t="s">
        <v>154</v>
      </c>
      <c r="C458" s="50" t="s">
        <v>259</v>
      </c>
      <c r="D458" s="79" t="s">
        <v>111</v>
      </c>
      <c r="E458" s="80" t="n">
        <v>46188</v>
      </c>
      <c r="F458" s="50" t="s">
        <v>804</v>
      </c>
      <c r="G458" s="81" t="s">
        <v>291</v>
      </c>
      <c r="H458" s="82" t="n">
        <v>1625.61</v>
      </c>
      <c r="I458" s="37" t="s">
        <v>226</v>
      </c>
      <c r="J458" s="37" t="s">
        <v>77</v>
      </c>
      <c r="K458" s="37" t="str">
        <f aca="false">TRIM(IF($B458="UNASSIGNED","NO COST CENTRE ","")&amp;IF(ISNA(MATCH($C458,Mapping!$B$7:$B$36,0)),"UNMAPPED ","")&amp;IF(COUNTIFS($C$4:$C458,$C458,$F$4:$F458,$F458,$H$4:$H458,$H458)&gt;1,"DUPLICATE ","")&amp;IF(AND(NOT(ISNA(MATCH($C458,Mapping!$B$7:$B$36,0))),$H458&lt;-'Control Panel'!$E$16),"CREDIT ","")&amp;IF(AND(NOT(ISNA(MATCH($C458,Mapping!$B$7:$B$36,0))),COUNTIFS(Budget!$B$4:$B$107,$B458,Budget!$C$4:$C$107,$D458)=0),"NO BUDGET ",""))</f>
        <v/>
      </c>
      <c r="L458" s="83" t="str">
        <f aca="false">IF($K458="","OK",$K458)</f>
        <v>OK</v>
      </c>
      <c r="M458" s="47" t="str">
        <f aca="false">IF(EXACT($L458,$I458),"ok","CHECK")</f>
        <v>ok</v>
      </c>
    </row>
    <row r="459" customFormat="false" ht="12" hidden="false" customHeight="true" outlineLevel="0" collapsed="false">
      <c r="B459" s="50" t="s">
        <v>154</v>
      </c>
      <c r="C459" s="50" t="s">
        <v>244</v>
      </c>
      <c r="D459" s="79" t="s">
        <v>111</v>
      </c>
      <c r="E459" s="80" t="n">
        <v>46190</v>
      </c>
      <c r="F459" s="50" t="s">
        <v>805</v>
      </c>
      <c r="G459" s="81" t="s">
        <v>288</v>
      </c>
      <c r="H459" s="82" t="n">
        <v>807.47</v>
      </c>
      <c r="I459" s="37" t="s">
        <v>226</v>
      </c>
      <c r="J459" s="37" t="s">
        <v>77</v>
      </c>
      <c r="K459" s="37" t="str">
        <f aca="false">TRIM(IF($B459="UNASSIGNED","NO COST CENTRE ","")&amp;IF(ISNA(MATCH($C459,Mapping!$B$7:$B$36,0)),"UNMAPPED ","")&amp;IF(COUNTIFS($C$4:$C459,$C459,$F$4:$F459,$F459,$H$4:$H459,$H459)&gt;1,"DUPLICATE ","")&amp;IF(AND(NOT(ISNA(MATCH($C459,Mapping!$B$7:$B$36,0))),$H459&lt;-'Control Panel'!$E$16),"CREDIT ","")&amp;IF(AND(NOT(ISNA(MATCH($C459,Mapping!$B$7:$B$36,0))),COUNTIFS(Budget!$B$4:$B$107,$B459,Budget!$C$4:$C$107,$D459)=0),"NO BUDGET ",""))</f>
        <v/>
      </c>
      <c r="L459" s="83" t="str">
        <f aca="false">IF($K459="","OK",$K459)</f>
        <v>OK</v>
      </c>
      <c r="M459" s="47" t="str">
        <f aca="false">IF(EXACT($L459,$I459),"ok","CHECK")</f>
        <v>ok</v>
      </c>
    </row>
    <row r="460" customFormat="false" ht="12" hidden="false" customHeight="true" outlineLevel="0" collapsed="false">
      <c r="B460" s="50" t="s">
        <v>154</v>
      </c>
      <c r="C460" s="50" t="s">
        <v>244</v>
      </c>
      <c r="D460" s="79" t="s">
        <v>111</v>
      </c>
      <c r="E460" s="80" t="n">
        <v>46191</v>
      </c>
      <c r="F460" s="50" t="s">
        <v>806</v>
      </c>
      <c r="G460" s="81" t="s">
        <v>246</v>
      </c>
      <c r="H460" s="82" t="n">
        <v>1898.93</v>
      </c>
      <c r="I460" s="37" t="s">
        <v>226</v>
      </c>
      <c r="J460" s="37" t="s">
        <v>77</v>
      </c>
      <c r="K460" s="37" t="str">
        <f aca="false">TRIM(IF($B460="UNASSIGNED","NO COST CENTRE ","")&amp;IF(ISNA(MATCH($C460,Mapping!$B$7:$B$36,0)),"UNMAPPED ","")&amp;IF(COUNTIFS($C$4:$C460,$C460,$F$4:$F460,$F460,$H$4:$H460,$H460)&gt;1,"DUPLICATE ","")&amp;IF(AND(NOT(ISNA(MATCH($C460,Mapping!$B$7:$B$36,0))),$H460&lt;-'Control Panel'!$E$16),"CREDIT ","")&amp;IF(AND(NOT(ISNA(MATCH($C460,Mapping!$B$7:$B$36,0))),COUNTIFS(Budget!$B$4:$B$107,$B460,Budget!$C$4:$C$107,$D460)=0),"NO BUDGET ",""))</f>
        <v/>
      </c>
      <c r="L460" s="83" t="str">
        <f aca="false">IF($K460="","OK",$K460)</f>
        <v>OK</v>
      </c>
      <c r="M460" s="47" t="str">
        <f aca="false">IF(EXACT($L460,$I460),"ok","CHECK")</f>
        <v>ok</v>
      </c>
    </row>
    <row r="461" customFormat="false" ht="12" hidden="false" customHeight="true" outlineLevel="0" collapsed="false">
      <c r="B461" s="50" t="s">
        <v>154</v>
      </c>
      <c r="C461" s="50" t="s">
        <v>241</v>
      </c>
      <c r="D461" s="79" t="s">
        <v>111</v>
      </c>
      <c r="E461" s="80" t="n">
        <v>46192</v>
      </c>
      <c r="F461" s="50" t="s">
        <v>807</v>
      </c>
      <c r="G461" s="81" t="s">
        <v>360</v>
      </c>
      <c r="H461" s="82" t="n">
        <v>1414.52</v>
      </c>
      <c r="I461" s="37" t="s">
        <v>226</v>
      </c>
      <c r="J461" s="37" t="s">
        <v>77</v>
      </c>
      <c r="K461" s="37" t="str">
        <f aca="false">TRIM(IF($B461="UNASSIGNED","NO COST CENTRE ","")&amp;IF(ISNA(MATCH($C461,Mapping!$B$7:$B$36,0)),"UNMAPPED ","")&amp;IF(COUNTIFS($C$4:$C461,$C461,$F$4:$F461,$F461,$H$4:$H461,$H461)&gt;1,"DUPLICATE ","")&amp;IF(AND(NOT(ISNA(MATCH($C461,Mapping!$B$7:$B$36,0))),$H461&lt;-'Control Panel'!$E$16),"CREDIT ","")&amp;IF(AND(NOT(ISNA(MATCH($C461,Mapping!$B$7:$B$36,0))),COUNTIFS(Budget!$B$4:$B$107,$B461,Budget!$C$4:$C$107,$D461)=0),"NO BUDGET ",""))</f>
        <v/>
      </c>
      <c r="L461" s="83" t="str">
        <f aca="false">IF($K461="","OK",$K461)</f>
        <v>OK</v>
      </c>
      <c r="M461" s="47" t="str">
        <f aca="false">IF(EXACT($L461,$I461),"ok","CHECK")</f>
        <v>ok</v>
      </c>
    </row>
    <row r="462" customFormat="false" ht="12" hidden="false" customHeight="true" outlineLevel="0" collapsed="false">
      <c r="B462" s="50" t="s">
        <v>154</v>
      </c>
      <c r="C462" s="50" t="s">
        <v>241</v>
      </c>
      <c r="D462" s="79" t="s">
        <v>111</v>
      </c>
      <c r="E462" s="80" t="n">
        <v>46193</v>
      </c>
      <c r="F462" s="50" t="s">
        <v>808</v>
      </c>
      <c r="G462" s="81" t="s">
        <v>342</v>
      </c>
      <c r="H462" s="82" t="n">
        <v>1235.83</v>
      </c>
      <c r="I462" s="37" t="s">
        <v>226</v>
      </c>
      <c r="J462" s="37" t="s">
        <v>77</v>
      </c>
      <c r="K462" s="37" t="str">
        <f aca="false">TRIM(IF($B462="UNASSIGNED","NO COST CENTRE ","")&amp;IF(ISNA(MATCH($C462,Mapping!$B$7:$B$36,0)),"UNMAPPED ","")&amp;IF(COUNTIFS($C$4:$C462,$C462,$F$4:$F462,$F462,$H$4:$H462,$H462)&gt;1,"DUPLICATE ","")&amp;IF(AND(NOT(ISNA(MATCH($C462,Mapping!$B$7:$B$36,0))),$H462&lt;-'Control Panel'!$E$16),"CREDIT ","")&amp;IF(AND(NOT(ISNA(MATCH($C462,Mapping!$B$7:$B$36,0))),COUNTIFS(Budget!$B$4:$B$107,$B462,Budget!$C$4:$C$107,$D462)=0),"NO BUDGET ",""))</f>
        <v/>
      </c>
      <c r="L462" s="83" t="str">
        <f aca="false">IF($K462="","OK",$K462)</f>
        <v>OK</v>
      </c>
      <c r="M462" s="47" t="str">
        <f aca="false">IF(EXACT($L462,$I462),"ok","CHECK")</f>
        <v>ok</v>
      </c>
    </row>
    <row r="463" customFormat="false" ht="12" hidden="false" customHeight="true" outlineLevel="0" collapsed="false">
      <c r="B463" s="50" t="s">
        <v>154</v>
      </c>
      <c r="C463" s="50" t="s">
        <v>219</v>
      </c>
      <c r="D463" s="79" t="s">
        <v>118</v>
      </c>
      <c r="E463" s="80" t="n">
        <v>46193</v>
      </c>
      <c r="F463" s="50" t="s">
        <v>809</v>
      </c>
      <c r="G463" s="81" t="s">
        <v>810</v>
      </c>
      <c r="H463" s="82" t="n">
        <v>1252.66</v>
      </c>
      <c r="I463" s="37" t="s">
        <v>226</v>
      </c>
      <c r="J463" s="37" t="s">
        <v>77</v>
      </c>
      <c r="K463" s="37" t="str">
        <f aca="false">TRIM(IF($B463="UNASSIGNED","NO COST CENTRE ","")&amp;IF(ISNA(MATCH($C463,Mapping!$B$7:$B$36,0)),"UNMAPPED ","")&amp;IF(COUNTIFS($C$4:$C463,$C463,$F$4:$F463,$F463,$H$4:$H463,$H463)&gt;1,"DUPLICATE ","")&amp;IF(AND(NOT(ISNA(MATCH($C463,Mapping!$B$7:$B$36,0))),$H463&lt;-'Control Panel'!$E$16),"CREDIT ","")&amp;IF(AND(NOT(ISNA(MATCH($C463,Mapping!$B$7:$B$36,0))),COUNTIFS(Budget!$B$4:$B$107,$B463,Budget!$C$4:$C$107,$D463)=0),"NO BUDGET ",""))</f>
        <v/>
      </c>
      <c r="L463" s="83" t="str">
        <f aca="false">IF($K463="","OK",$K463)</f>
        <v>OK</v>
      </c>
      <c r="M463" s="47" t="str">
        <f aca="false">IF(EXACT($L463,$I463),"ok","CHECK")</f>
        <v>ok</v>
      </c>
    </row>
    <row r="464" customFormat="false" ht="12" hidden="false" customHeight="true" outlineLevel="0" collapsed="false">
      <c r="B464" s="50" t="s">
        <v>154</v>
      </c>
      <c r="C464" s="50" t="s">
        <v>580</v>
      </c>
      <c r="D464" s="79" t="s">
        <v>119</v>
      </c>
      <c r="E464" s="80" t="n">
        <v>46195</v>
      </c>
      <c r="F464" s="50" t="s">
        <v>811</v>
      </c>
      <c r="G464" s="81" t="s">
        <v>812</v>
      </c>
      <c r="H464" s="82" t="n">
        <v>1213.43</v>
      </c>
      <c r="I464" s="37" t="s">
        <v>226</v>
      </c>
      <c r="J464" s="37" t="s">
        <v>77</v>
      </c>
      <c r="K464" s="37" t="str">
        <f aca="false">TRIM(IF($B464="UNASSIGNED","NO COST CENTRE ","")&amp;IF(ISNA(MATCH($C464,Mapping!$B$7:$B$36,0)),"UNMAPPED ","")&amp;IF(COUNTIFS($C$4:$C464,$C464,$F$4:$F464,$F464,$H$4:$H464,$H464)&gt;1,"DUPLICATE ","")&amp;IF(AND(NOT(ISNA(MATCH($C464,Mapping!$B$7:$B$36,0))),$H464&lt;-'Control Panel'!$E$16),"CREDIT ","")&amp;IF(AND(NOT(ISNA(MATCH($C464,Mapping!$B$7:$B$36,0))),COUNTIFS(Budget!$B$4:$B$107,$B464,Budget!$C$4:$C$107,$D464)=0),"NO BUDGET ",""))</f>
        <v/>
      </c>
      <c r="L464" s="83" t="str">
        <f aca="false">IF($K464="","OK",$K464)</f>
        <v>OK</v>
      </c>
      <c r="M464" s="47" t="str">
        <f aca="false">IF(EXACT($L464,$I464),"ok","CHECK")</f>
        <v>ok</v>
      </c>
    </row>
    <row r="465" customFormat="false" ht="12" hidden="false" customHeight="true" outlineLevel="0" collapsed="false">
      <c r="B465" s="50" t="s">
        <v>154</v>
      </c>
      <c r="C465" s="50" t="s">
        <v>259</v>
      </c>
      <c r="D465" s="79" t="s">
        <v>111</v>
      </c>
      <c r="E465" s="80" t="n">
        <v>46195</v>
      </c>
      <c r="F465" s="50" t="s">
        <v>813</v>
      </c>
      <c r="G465" s="81" t="s">
        <v>243</v>
      </c>
      <c r="H465" s="82" t="n">
        <v>1404.27</v>
      </c>
      <c r="I465" s="37" t="s">
        <v>226</v>
      </c>
      <c r="J465" s="37" t="s">
        <v>77</v>
      </c>
      <c r="K465" s="37" t="str">
        <f aca="false">TRIM(IF($B465="UNASSIGNED","NO COST CENTRE ","")&amp;IF(ISNA(MATCH($C465,Mapping!$B$7:$B$36,0)),"UNMAPPED ","")&amp;IF(COUNTIFS($C$4:$C465,$C465,$F$4:$F465,$F465,$H$4:$H465,$H465)&gt;1,"DUPLICATE ","")&amp;IF(AND(NOT(ISNA(MATCH($C465,Mapping!$B$7:$B$36,0))),$H465&lt;-'Control Panel'!$E$16),"CREDIT ","")&amp;IF(AND(NOT(ISNA(MATCH($C465,Mapping!$B$7:$B$36,0))),COUNTIFS(Budget!$B$4:$B$107,$B465,Budget!$C$4:$C$107,$D465)=0),"NO BUDGET ",""))</f>
        <v/>
      </c>
      <c r="L465" s="83" t="str">
        <f aca="false">IF($K465="","OK",$K465)</f>
        <v>OK</v>
      </c>
      <c r="M465" s="47" t="str">
        <f aca="false">IF(EXACT($L465,$I465),"ok","CHECK")</f>
        <v>ok</v>
      </c>
    </row>
    <row r="466" customFormat="false" ht="12" hidden="false" customHeight="true" outlineLevel="0" collapsed="false">
      <c r="B466" s="50" t="s">
        <v>154</v>
      </c>
      <c r="C466" s="50" t="s">
        <v>219</v>
      </c>
      <c r="D466" s="79" t="s">
        <v>118</v>
      </c>
      <c r="E466" s="80" t="n">
        <v>46197</v>
      </c>
      <c r="F466" s="50" t="s">
        <v>814</v>
      </c>
      <c r="G466" s="81" t="s">
        <v>389</v>
      </c>
      <c r="H466" s="82" t="n">
        <v>1617.08</v>
      </c>
      <c r="I466" s="37" t="s">
        <v>226</v>
      </c>
      <c r="J466" s="37" t="s">
        <v>77</v>
      </c>
      <c r="K466" s="37" t="str">
        <f aca="false">TRIM(IF($B466="UNASSIGNED","NO COST CENTRE ","")&amp;IF(ISNA(MATCH($C466,Mapping!$B$7:$B$36,0)),"UNMAPPED ","")&amp;IF(COUNTIFS($C$4:$C466,$C466,$F$4:$F466,$F466,$H$4:$H466,$H466)&gt;1,"DUPLICATE ","")&amp;IF(AND(NOT(ISNA(MATCH($C466,Mapping!$B$7:$B$36,0))),$H466&lt;-'Control Panel'!$E$16),"CREDIT ","")&amp;IF(AND(NOT(ISNA(MATCH($C466,Mapping!$B$7:$B$36,0))),COUNTIFS(Budget!$B$4:$B$107,$B466,Budget!$C$4:$C$107,$D466)=0),"NO BUDGET ",""))</f>
        <v/>
      </c>
      <c r="L466" s="83" t="str">
        <f aca="false">IF($K466="","OK",$K466)</f>
        <v>OK</v>
      </c>
      <c r="M466" s="47" t="str">
        <f aca="false">IF(EXACT($L466,$I466),"ok","CHECK")</f>
        <v>ok</v>
      </c>
    </row>
    <row r="467" customFormat="false" ht="12" hidden="false" customHeight="true" outlineLevel="0" collapsed="false">
      <c r="B467" s="50" t="s">
        <v>154</v>
      </c>
      <c r="C467" s="50" t="s">
        <v>259</v>
      </c>
      <c r="D467" s="79" t="s">
        <v>111</v>
      </c>
      <c r="E467" s="80" t="n">
        <v>46198</v>
      </c>
      <c r="F467" s="50" t="s">
        <v>815</v>
      </c>
      <c r="G467" s="81" t="s">
        <v>261</v>
      </c>
      <c r="H467" s="82" t="n">
        <v>1080.26</v>
      </c>
      <c r="I467" s="37" t="s">
        <v>226</v>
      </c>
      <c r="J467" s="37" t="s">
        <v>77</v>
      </c>
      <c r="K467" s="37" t="str">
        <f aca="false">TRIM(IF($B467="UNASSIGNED","NO COST CENTRE ","")&amp;IF(ISNA(MATCH($C467,Mapping!$B$7:$B$36,0)),"UNMAPPED ","")&amp;IF(COUNTIFS($C$4:$C467,$C467,$F$4:$F467,$F467,$H$4:$H467,$H467)&gt;1,"DUPLICATE ","")&amp;IF(AND(NOT(ISNA(MATCH($C467,Mapping!$B$7:$B$36,0))),$H467&lt;-'Control Panel'!$E$16),"CREDIT ","")&amp;IF(AND(NOT(ISNA(MATCH($C467,Mapping!$B$7:$B$36,0))),COUNTIFS(Budget!$B$4:$B$107,$B467,Budget!$C$4:$C$107,$D467)=0),"NO BUDGET ",""))</f>
        <v/>
      </c>
      <c r="L467" s="83" t="str">
        <f aca="false">IF($K467="","OK",$K467)</f>
        <v>OK</v>
      </c>
      <c r="M467" s="47" t="str">
        <f aca="false">IF(EXACT($L467,$I467),"ok","CHECK")</f>
        <v>ok</v>
      </c>
    </row>
    <row r="468" customFormat="false" ht="12" hidden="false" customHeight="true" outlineLevel="0" collapsed="false">
      <c r="B468" s="50" t="s">
        <v>154</v>
      </c>
      <c r="C468" s="50" t="s">
        <v>255</v>
      </c>
      <c r="D468" s="79" t="s">
        <v>120</v>
      </c>
      <c r="E468" s="80" t="n">
        <v>46199</v>
      </c>
      <c r="F468" s="50" t="s">
        <v>816</v>
      </c>
      <c r="G468" s="81" t="s">
        <v>817</v>
      </c>
      <c r="H468" s="82" t="n">
        <v>1308.96</v>
      </c>
      <c r="I468" s="37" t="s">
        <v>226</v>
      </c>
      <c r="J468" s="37" t="s">
        <v>77</v>
      </c>
      <c r="K468" s="37" t="str">
        <f aca="false">TRIM(IF($B468="UNASSIGNED","NO COST CENTRE ","")&amp;IF(ISNA(MATCH($C468,Mapping!$B$7:$B$36,0)),"UNMAPPED ","")&amp;IF(COUNTIFS($C$4:$C468,$C468,$F$4:$F468,$F468,$H$4:$H468,$H468)&gt;1,"DUPLICATE ","")&amp;IF(AND(NOT(ISNA(MATCH($C468,Mapping!$B$7:$B$36,0))),$H468&lt;-'Control Panel'!$E$16),"CREDIT ","")&amp;IF(AND(NOT(ISNA(MATCH($C468,Mapping!$B$7:$B$36,0))),COUNTIFS(Budget!$B$4:$B$107,$B468,Budget!$C$4:$C$107,$D468)=0),"NO BUDGET ",""))</f>
        <v/>
      </c>
      <c r="L468" s="83" t="str">
        <f aca="false">IF($K468="","OK",$K468)</f>
        <v>OK</v>
      </c>
      <c r="M468" s="47" t="str">
        <f aca="false">IF(EXACT($L468,$I468),"ok","CHECK")</f>
        <v>ok</v>
      </c>
    </row>
    <row r="469" customFormat="false" ht="12" hidden="false" customHeight="true" outlineLevel="0" collapsed="false">
      <c r="B469" s="50" t="s">
        <v>154</v>
      </c>
      <c r="C469" s="50" t="s">
        <v>241</v>
      </c>
      <c r="D469" s="79" t="s">
        <v>111</v>
      </c>
      <c r="E469" s="80" t="n">
        <v>46201</v>
      </c>
      <c r="F469" s="50" t="s">
        <v>818</v>
      </c>
      <c r="G469" s="81" t="s">
        <v>291</v>
      </c>
      <c r="H469" s="82" t="n">
        <v>784.25</v>
      </c>
      <c r="I469" s="37" t="s">
        <v>226</v>
      </c>
      <c r="J469" s="37" t="s">
        <v>77</v>
      </c>
      <c r="K469" s="37" t="str">
        <f aca="false">TRIM(IF($B469="UNASSIGNED","NO COST CENTRE ","")&amp;IF(ISNA(MATCH($C469,Mapping!$B$7:$B$36,0)),"UNMAPPED ","")&amp;IF(COUNTIFS($C$4:$C469,$C469,$F$4:$F469,$F469,$H$4:$H469,$H469)&gt;1,"DUPLICATE ","")&amp;IF(AND(NOT(ISNA(MATCH($C469,Mapping!$B$7:$B$36,0))),$H469&lt;-'Control Panel'!$E$16),"CREDIT ","")&amp;IF(AND(NOT(ISNA(MATCH($C469,Mapping!$B$7:$B$36,0))),COUNTIFS(Budget!$B$4:$B$107,$B469,Budget!$C$4:$C$107,$D469)=0),"NO BUDGET ",""))</f>
        <v/>
      </c>
      <c r="L469" s="83" t="str">
        <f aca="false">IF($K469="","OK",$K469)</f>
        <v>OK</v>
      </c>
      <c r="M469" s="47" t="str">
        <f aca="false">IF(EXACT($L469,$I469),"ok","CHECK")</f>
        <v>ok</v>
      </c>
    </row>
    <row r="470" customFormat="false" ht="12" hidden="false" customHeight="true" outlineLevel="0" collapsed="false">
      <c r="B470" s="50" t="s">
        <v>154</v>
      </c>
      <c r="C470" s="50" t="s">
        <v>289</v>
      </c>
      <c r="D470" s="79" t="s">
        <v>111</v>
      </c>
      <c r="E470" s="80" t="n">
        <v>46202</v>
      </c>
      <c r="F470" s="50" t="s">
        <v>819</v>
      </c>
      <c r="G470" s="81" t="s">
        <v>360</v>
      </c>
      <c r="H470" s="82" t="n">
        <v>1945.73</v>
      </c>
      <c r="I470" s="37" t="s">
        <v>226</v>
      </c>
      <c r="J470" s="37" t="s">
        <v>77</v>
      </c>
      <c r="K470" s="37" t="str">
        <f aca="false">TRIM(IF($B470="UNASSIGNED","NO COST CENTRE ","")&amp;IF(ISNA(MATCH($C470,Mapping!$B$7:$B$36,0)),"UNMAPPED ","")&amp;IF(COUNTIFS($C$4:$C470,$C470,$F$4:$F470,$F470,$H$4:$H470,$H470)&gt;1,"DUPLICATE ","")&amp;IF(AND(NOT(ISNA(MATCH($C470,Mapping!$B$7:$B$36,0))),$H470&lt;-'Control Panel'!$E$16),"CREDIT ","")&amp;IF(AND(NOT(ISNA(MATCH($C470,Mapping!$B$7:$B$36,0))),COUNTIFS(Budget!$B$4:$B$107,$B470,Budget!$C$4:$C$107,$D470)=0),"NO BUDGET ",""))</f>
        <v/>
      </c>
      <c r="L470" s="83" t="str">
        <f aca="false">IF($K470="","OK",$K470)</f>
        <v>OK</v>
      </c>
      <c r="M470" s="47" t="str">
        <f aca="false">IF(EXACT($L470,$I470),"ok","CHECK")</f>
        <v>ok</v>
      </c>
    </row>
    <row r="471" customFormat="false" ht="12" hidden="false" customHeight="true" outlineLevel="0" collapsed="false">
      <c r="B471" s="50" t="s">
        <v>154</v>
      </c>
      <c r="C471" s="50" t="s">
        <v>227</v>
      </c>
      <c r="D471" s="79" t="s">
        <v>112</v>
      </c>
      <c r="E471" s="80" t="n">
        <v>46202</v>
      </c>
      <c r="F471" s="50" t="s">
        <v>820</v>
      </c>
      <c r="G471" s="81" t="s">
        <v>392</v>
      </c>
      <c r="H471" s="82" t="n">
        <v>4555.79</v>
      </c>
      <c r="I471" s="37" t="s">
        <v>226</v>
      </c>
      <c r="J471" s="37" t="s">
        <v>77</v>
      </c>
      <c r="K471" s="37" t="str">
        <f aca="false">TRIM(IF($B471="UNASSIGNED","NO COST CENTRE ","")&amp;IF(ISNA(MATCH($C471,Mapping!$B$7:$B$36,0)),"UNMAPPED ","")&amp;IF(COUNTIFS($C$4:$C471,$C471,$F$4:$F471,$F471,$H$4:$H471,$H471)&gt;1,"DUPLICATE ","")&amp;IF(AND(NOT(ISNA(MATCH($C471,Mapping!$B$7:$B$36,0))),$H471&lt;-'Control Panel'!$E$16),"CREDIT ","")&amp;IF(AND(NOT(ISNA(MATCH($C471,Mapping!$B$7:$B$36,0))),COUNTIFS(Budget!$B$4:$B$107,$B471,Budget!$C$4:$C$107,$D471)=0),"NO BUDGET ",""))</f>
        <v/>
      </c>
      <c r="L471" s="83" t="str">
        <f aca="false">IF($K471="","OK",$K471)</f>
        <v>OK</v>
      </c>
      <c r="M471" s="47" t="str">
        <f aca="false">IF(EXACT($L471,$I471),"ok","CHECK")</f>
        <v>ok</v>
      </c>
    </row>
    <row r="472" customFormat="false" ht="12" hidden="false" customHeight="true" outlineLevel="0" collapsed="false">
      <c r="B472" s="50" t="s">
        <v>154</v>
      </c>
      <c r="C472" s="50" t="s">
        <v>255</v>
      </c>
      <c r="D472" s="79" t="s">
        <v>120</v>
      </c>
      <c r="E472" s="80" t="n">
        <v>46203</v>
      </c>
      <c r="F472" s="50" t="s">
        <v>821</v>
      </c>
      <c r="G472" s="81" t="s">
        <v>257</v>
      </c>
      <c r="H472" s="82" t="n">
        <v>1327.99</v>
      </c>
      <c r="I472" s="37" t="s">
        <v>226</v>
      </c>
      <c r="J472" s="37" t="s">
        <v>77</v>
      </c>
      <c r="K472" s="37" t="str">
        <f aca="false">TRIM(IF($B472="UNASSIGNED","NO COST CENTRE ","")&amp;IF(ISNA(MATCH($C472,Mapping!$B$7:$B$36,0)),"UNMAPPED ","")&amp;IF(COUNTIFS($C$4:$C472,$C472,$F$4:$F472,$F472,$H$4:$H472,$H472)&gt;1,"DUPLICATE ","")&amp;IF(AND(NOT(ISNA(MATCH($C472,Mapping!$B$7:$B$36,0))),$H472&lt;-'Control Panel'!$E$16),"CREDIT ","")&amp;IF(AND(NOT(ISNA(MATCH($C472,Mapping!$B$7:$B$36,0))),COUNTIFS(Budget!$B$4:$B$107,$B472,Budget!$C$4:$C$107,$D472)=0),"NO BUDGET ",""))</f>
        <v/>
      </c>
      <c r="L472" s="83" t="str">
        <f aca="false">IF($K472="","OK",$K472)</f>
        <v>OK</v>
      </c>
      <c r="M472" s="47" t="str">
        <f aca="false">IF(EXACT($L472,$I472),"ok","CHECK")</f>
        <v>ok</v>
      </c>
    </row>
    <row r="473" customFormat="false" ht="12" hidden="false" customHeight="true" outlineLevel="0" collapsed="false">
      <c r="B473" s="50" t="s">
        <v>155</v>
      </c>
      <c r="C473" s="50" t="s">
        <v>241</v>
      </c>
      <c r="D473" s="79" t="s">
        <v>111</v>
      </c>
      <c r="E473" s="80" t="n">
        <v>46174</v>
      </c>
      <c r="F473" s="50" t="s">
        <v>822</v>
      </c>
      <c r="G473" s="81" t="s">
        <v>291</v>
      </c>
      <c r="H473" s="82" t="n">
        <v>1748.06</v>
      </c>
      <c r="I473" s="37" t="s">
        <v>226</v>
      </c>
      <c r="J473" s="37" t="s">
        <v>77</v>
      </c>
      <c r="K473" s="37" t="str">
        <f aca="false">TRIM(IF($B473="UNASSIGNED","NO COST CENTRE ","")&amp;IF(ISNA(MATCH($C473,Mapping!$B$7:$B$36,0)),"UNMAPPED ","")&amp;IF(COUNTIFS($C$4:$C473,$C473,$F$4:$F473,$F473,$H$4:$H473,$H473)&gt;1,"DUPLICATE ","")&amp;IF(AND(NOT(ISNA(MATCH($C473,Mapping!$B$7:$B$36,0))),$H473&lt;-'Control Panel'!$E$16),"CREDIT ","")&amp;IF(AND(NOT(ISNA(MATCH($C473,Mapping!$B$7:$B$36,0))),COUNTIFS(Budget!$B$4:$B$107,$B473,Budget!$C$4:$C$107,$D473)=0),"NO BUDGET ",""))</f>
        <v/>
      </c>
      <c r="L473" s="83" t="str">
        <f aca="false">IF($K473="","OK",$K473)</f>
        <v>OK</v>
      </c>
      <c r="M473" s="47" t="str">
        <f aca="false">IF(EXACT($L473,$I473),"ok","CHECK")</f>
        <v>ok</v>
      </c>
    </row>
    <row r="474" customFormat="false" ht="12" hidden="false" customHeight="true" outlineLevel="0" collapsed="false">
      <c r="B474" s="50" t="s">
        <v>155</v>
      </c>
      <c r="C474" s="50" t="s">
        <v>289</v>
      </c>
      <c r="D474" s="79" t="s">
        <v>111</v>
      </c>
      <c r="E474" s="80" t="n">
        <v>46174</v>
      </c>
      <c r="F474" s="50" t="s">
        <v>823</v>
      </c>
      <c r="G474" s="81" t="s">
        <v>342</v>
      </c>
      <c r="H474" s="82" t="n">
        <v>1401.89</v>
      </c>
      <c r="I474" s="37" t="s">
        <v>226</v>
      </c>
      <c r="J474" s="37" t="s">
        <v>77</v>
      </c>
      <c r="K474" s="37" t="str">
        <f aca="false">TRIM(IF($B474="UNASSIGNED","NO COST CENTRE ","")&amp;IF(ISNA(MATCH($C474,Mapping!$B$7:$B$36,0)),"UNMAPPED ","")&amp;IF(COUNTIFS($C$4:$C474,$C474,$F$4:$F474,$F474,$H$4:$H474,$H474)&gt;1,"DUPLICATE ","")&amp;IF(AND(NOT(ISNA(MATCH($C474,Mapping!$B$7:$B$36,0))),$H474&lt;-'Control Panel'!$E$16),"CREDIT ","")&amp;IF(AND(NOT(ISNA(MATCH($C474,Mapping!$B$7:$B$36,0))),COUNTIFS(Budget!$B$4:$B$107,$B474,Budget!$C$4:$C$107,$D474)=0),"NO BUDGET ",""))</f>
        <v/>
      </c>
      <c r="L474" s="83" t="str">
        <f aca="false">IF($K474="","OK",$K474)</f>
        <v>OK</v>
      </c>
      <c r="M474" s="47" t="str">
        <f aca="false">IF(EXACT($L474,$I474),"ok","CHECK")</f>
        <v>ok</v>
      </c>
    </row>
    <row r="475" customFormat="false" ht="12" hidden="false" customHeight="true" outlineLevel="0" collapsed="false">
      <c r="B475" s="50" t="s">
        <v>155</v>
      </c>
      <c r="C475" s="50" t="s">
        <v>282</v>
      </c>
      <c r="D475" s="79" t="s">
        <v>112</v>
      </c>
      <c r="E475" s="80" t="n">
        <v>46177</v>
      </c>
      <c r="F475" s="50" t="s">
        <v>824</v>
      </c>
      <c r="G475" s="81" t="s">
        <v>284</v>
      </c>
      <c r="H475" s="82" t="n">
        <v>5033.57</v>
      </c>
      <c r="I475" s="37" t="s">
        <v>226</v>
      </c>
      <c r="J475" s="37" t="s">
        <v>77</v>
      </c>
      <c r="K475" s="37" t="str">
        <f aca="false">TRIM(IF($B475="UNASSIGNED","NO COST CENTRE ","")&amp;IF(ISNA(MATCH($C475,Mapping!$B$7:$B$36,0)),"UNMAPPED ","")&amp;IF(COUNTIFS($C$4:$C475,$C475,$F$4:$F475,$F475,$H$4:$H475,$H475)&gt;1,"DUPLICATE ","")&amp;IF(AND(NOT(ISNA(MATCH($C475,Mapping!$B$7:$B$36,0))),$H475&lt;-'Control Panel'!$E$16),"CREDIT ","")&amp;IF(AND(NOT(ISNA(MATCH($C475,Mapping!$B$7:$B$36,0))),COUNTIFS(Budget!$B$4:$B$107,$B475,Budget!$C$4:$C$107,$D475)=0),"NO BUDGET ",""))</f>
        <v/>
      </c>
      <c r="L475" s="83" t="str">
        <f aca="false">IF($K475="","OK",$K475)</f>
        <v>OK</v>
      </c>
      <c r="M475" s="47" t="str">
        <f aca="false">IF(EXACT($L475,$I475),"ok","CHECK")</f>
        <v>ok</v>
      </c>
    </row>
    <row r="476" customFormat="false" ht="12" hidden="false" customHeight="true" outlineLevel="0" collapsed="false">
      <c r="B476" s="50" t="s">
        <v>155</v>
      </c>
      <c r="C476" s="50" t="s">
        <v>580</v>
      </c>
      <c r="D476" s="79" t="s">
        <v>119</v>
      </c>
      <c r="E476" s="80" t="n">
        <v>46177</v>
      </c>
      <c r="F476" s="50" t="s">
        <v>825</v>
      </c>
      <c r="G476" s="81" t="s">
        <v>767</v>
      </c>
      <c r="H476" s="82" t="n">
        <v>1534.65</v>
      </c>
      <c r="I476" s="37" t="s">
        <v>226</v>
      </c>
      <c r="J476" s="37" t="s">
        <v>77</v>
      </c>
      <c r="K476" s="37" t="str">
        <f aca="false">TRIM(IF($B476="UNASSIGNED","NO COST CENTRE ","")&amp;IF(ISNA(MATCH($C476,Mapping!$B$7:$B$36,0)),"UNMAPPED ","")&amp;IF(COUNTIFS($C$4:$C476,$C476,$F$4:$F476,$F476,$H$4:$H476,$H476)&gt;1,"DUPLICATE ","")&amp;IF(AND(NOT(ISNA(MATCH($C476,Mapping!$B$7:$B$36,0))),$H476&lt;-'Control Panel'!$E$16),"CREDIT ","")&amp;IF(AND(NOT(ISNA(MATCH($C476,Mapping!$B$7:$B$36,0))),COUNTIFS(Budget!$B$4:$B$107,$B476,Budget!$C$4:$C$107,$D476)=0),"NO BUDGET ",""))</f>
        <v/>
      </c>
      <c r="L476" s="83" t="str">
        <f aca="false">IF($K476="","OK",$K476)</f>
        <v>OK</v>
      </c>
      <c r="M476" s="47" t="str">
        <f aca="false">IF(EXACT($L476,$I476),"ok","CHECK")</f>
        <v>ok</v>
      </c>
    </row>
    <row r="477" customFormat="false" ht="12" hidden="false" customHeight="true" outlineLevel="0" collapsed="false">
      <c r="B477" s="50" t="s">
        <v>155</v>
      </c>
      <c r="C477" s="50" t="s">
        <v>362</v>
      </c>
      <c r="D477" s="79" t="s">
        <v>120</v>
      </c>
      <c r="E477" s="80" t="n">
        <v>46178</v>
      </c>
      <c r="F477" s="50" t="s">
        <v>826</v>
      </c>
      <c r="G477" s="81" t="s">
        <v>827</v>
      </c>
      <c r="H477" s="82" t="n">
        <v>895.58</v>
      </c>
      <c r="I477" s="37" t="s">
        <v>226</v>
      </c>
      <c r="J477" s="37" t="s">
        <v>77</v>
      </c>
      <c r="K477" s="37" t="str">
        <f aca="false">TRIM(IF($B477="UNASSIGNED","NO COST CENTRE ","")&amp;IF(ISNA(MATCH($C477,Mapping!$B$7:$B$36,0)),"UNMAPPED ","")&amp;IF(COUNTIFS($C$4:$C477,$C477,$F$4:$F477,$F477,$H$4:$H477,$H477)&gt;1,"DUPLICATE ","")&amp;IF(AND(NOT(ISNA(MATCH($C477,Mapping!$B$7:$B$36,0))),$H477&lt;-'Control Panel'!$E$16),"CREDIT ","")&amp;IF(AND(NOT(ISNA(MATCH($C477,Mapping!$B$7:$B$36,0))),COUNTIFS(Budget!$B$4:$B$107,$B477,Budget!$C$4:$C$107,$D477)=0),"NO BUDGET ",""))</f>
        <v/>
      </c>
      <c r="L477" s="83" t="str">
        <f aca="false">IF($K477="","OK",$K477)</f>
        <v>OK</v>
      </c>
      <c r="M477" s="47" t="str">
        <f aca="false">IF(EXACT($L477,$I477),"ok","CHECK")</f>
        <v>ok</v>
      </c>
    </row>
    <row r="478" customFormat="false" ht="12" hidden="false" customHeight="true" outlineLevel="0" collapsed="false">
      <c r="B478" s="50" t="s">
        <v>155</v>
      </c>
      <c r="C478" s="50" t="s">
        <v>524</v>
      </c>
      <c r="D478" s="79" t="s">
        <v>118</v>
      </c>
      <c r="E478" s="80" t="n">
        <v>46178</v>
      </c>
      <c r="F478" s="50" t="s">
        <v>828</v>
      </c>
      <c r="G478" s="81" t="s">
        <v>810</v>
      </c>
      <c r="H478" s="82" t="n">
        <v>1491.91</v>
      </c>
      <c r="I478" s="37" t="s">
        <v>226</v>
      </c>
      <c r="J478" s="37" t="s">
        <v>77</v>
      </c>
      <c r="K478" s="37" t="str">
        <f aca="false">TRIM(IF($B478="UNASSIGNED","NO COST CENTRE ","")&amp;IF(ISNA(MATCH($C478,Mapping!$B$7:$B$36,0)),"UNMAPPED ","")&amp;IF(COUNTIFS($C$4:$C478,$C478,$F$4:$F478,$F478,$H$4:$H478,$H478)&gt;1,"DUPLICATE ","")&amp;IF(AND(NOT(ISNA(MATCH($C478,Mapping!$B$7:$B$36,0))),$H478&lt;-'Control Panel'!$E$16),"CREDIT ","")&amp;IF(AND(NOT(ISNA(MATCH($C478,Mapping!$B$7:$B$36,0))),COUNTIFS(Budget!$B$4:$B$107,$B478,Budget!$C$4:$C$107,$D478)=0),"NO BUDGET ",""))</f>
        <v/>
      </c>
      <c r="L478" s="83" t="str">
        <f aca="false">IF($K478="","OK",$K478)</f>
        <v>OK</v>
      </c>
      <c r="M478" s="47" t="str">
        <f aca="false">IF(EXACT($L478,$I478),"ok","CHECK")</f>
        <v>ok</v>
      </c>
    </row>
    <row r="479" customFormat="false" ht="12" hidden="false" customHeight="true" outlineLevel="0" collapsed="false">
      <c r="B479" s="50" t="s">
        <v>155</v>
      </c>
      <c r="C479" s="50" t="s">
        <v>279</v>
      </c>
      <c r="D479" s="79" t="s">
        <v>118</v>
      </c>
      <c r="E479" s="80" t="n">
        <v>46179</v>
      </c>
      <c r="F479" s="50" t="s">
        <v>829</v>
      </c>
      <c r="G479" s="81" t="s">
        <v>810</v>
      </c>
      <c r="H479" s="82" t="n">
        <v>990.68</v>
      </c>
      <c r="I479" s="37" t="s">
        <v>226</v>
      </c>
      <c r="J479" s="37" t="s">
        <v>77</v>
      </c>
      <c r="K479" s="37" t="str">
        <f aca="false">TRIM(IF($B479="UNASSIGNED","NO COST CENTRE ","")&amp;IF(ISNA(MATCH($C479,Mapping!$B$7:$B$36,0)),"UNMAPPED ","")&amp;IF(COUNTIFS($C$4:$C479,$C479,$F$4:$F479,$F479,$H$4:$H479,$H479)&gt;1,"DUPLICATE ","")&amp;IF(AND(NOT(ISNA(MATCH($C479,Mapping!$B$7:$B$36,0))),$H479&lt;-'Control Panel'!$E$16),"CREDIT ","")&amp;IF(AND(NOT(ISNA(MATCH($C479,Mapping!$B$7:$B$36,0))),COUNTIFS(Budget!$B$4:$B$107,$B479,Budget!$C$4:$C$107,$D479)=0),"NO BUDGET ",""))</f>
        <v/>
      </c>
      <c r="L479" s="83" t="str">
        <f aca="false">IF($K479="","OK",$K479)</f>
        <v>OK</v>
      </c>
      <c r="M479" s="47" t="str">
        <f aca="false">IF(EXACT($L479,$I479),"ok","CHECK")</f>
        <v>ok</v>
      </c>
    </row>
    <row r="480" customFormat="false" ht="12" hidden="false" customHeight="true" outlineLevel="0" collapsed="false">
      <c r="B480" s="50" t="s">
        <v>155</v>
      </c>
      <c r="C480" s="50" t="s">
        <v>273</v>
      </c>
      <c r="D480" s="79" t="s">
        <v>114</v>
      </c>
      <c r="E480" s="80" t="n">
        <v>46180</v>
      </c>
      <c r="F480" s="50" t="s">
        <v>830</v>
      </c>
      <c r="G480" s="81" t="s">
        <v>706</v>
      </c>
      <c r="H480" s="82" t="n">
        <v>1131.99</v>
      </c>
      <c r="I480" s="37" t="s">
        <v>226</v>
      </c>
      <c r="J480" s="37" t="s">
        <v>77</v>
      </c>
      <c r="K480" s="37" t="str">
        <f aca="false">TRIM(IF($B480="UNASSIGNED","NO COST CENTRE ","")&amp;IF(ISNA(MATCH($C480,Mapping!$B$7:$B$36,0)),"UNMAPPED ","")&amp;IF(COUNTIFS($C$4:$C480,$C480,$F$4:$F480,$F480,$H$4:$H480,$H480)&gt;1,"DUPLICATE ","")&amp;IF(AND(NOT(ISNA(MATCH($C480,Mapping!$B$7:$B$36,0))),$H480&lt;-'Control Panel'!$E$16),"CREDIT ","")&amp;IF(AND(NOT(ISNA(MATCH($C480,Mapping!$B$7:$B$36,0))),COUNTIFS(Budget!$B$4:$B$107,$B480,Budget!$C$4:$C$107,$D480)=0),"NO BUDGET ",""))</f>
        <v/>
      </c>
      <c r="L480" s="83" t="str">
        <f aca="false">IF($K480="","OK",$K480)</f>
        <v>OK</v>
      </c>
      <c r="M480" s="47" t="str">
        <f aca="false">IF(EXACT($L480,$I480),"ok","CHECK")</f>
        <v>ok</v>
      </c>
    </row>
    <row r="481" customFormat="false" ht="12" hidden="false" customHeight="true" outlineLevel="0" collapsed="false">
      <c r="B481" s="50" t="s">
        <v>155</v>
      </c>
      <c r="C481" s="50" t="s">
        <v>289</v>
      </c>
      <c r="D481" s="79" t="s">
        <v>111</v>
      </c>
      <c r="E481" s="80" t="n">
        <v>46181</v>
      </c>
      <c r="F481" s="50" t="s">
        <v>831</v>
      </c>
      <c r="G481" s="81" t="s">
        <v>246</v>
      </c>
      <c r="H481" s="82" t="n">
        <v>915.23</v>
      </c>
      <c r="I481" s="37" t="s">
        <v>226</v>
      </c>
      <c r="J481" s="37" t="s">
        <v>77</v>
      </c>
      <c r="K481" s="37" t="str">
        <f aca="false">TRIM(IF($B481="UNASSIGNED","NO COST CENTRE ","")&amp;IF(ISNA(MATCH($C481,Mapping!$B$7:$B$36,0)),"UNMAPPED ","")&amp;IF(COUNTIFS($C$4:$C481,$C481,$F$4:$F481,$F481,$H$4:$H481,$H481)&gt;1,"DUPLICATE ","")&amp;IF(AND(NOT(ISNA(MATCH($C481,Mapping!$B$7:$B$36,0))),$H481&lt;-'Control Panel'!$E$16),"CREDIT ","")&amp;IF(AND(NOT(ISNA(MATCH($C481,Mapping!$B$7:$B$36,0))),COUNTIFS(Budget!$B$4:$B$107,$B481,Budget!$C$4:$C$107,$D481)=0),"NO BUDGET ",""))</f>
        <v/>
      </c>
      <c r="L481" s="83" t="str">
        <f aca="false">IF($K481="","OK",$K481)</f>
        <v>OK</v>
      </c>
      <c r="M481" s="47" t="str">
        <f aca="false">IF(EXACT($L481,$I481),"ok","CHECK")</f>
        <v>ok</v>
      </c>
    </row>
    <row r="482" customFormat="false" ht="12" hidden="false" customHeight="true" outlineLevel="0" collapsed="false">
      <c r="B482" s="50" t="s">
        <v>155</v>
      </c>
      <c r="C482" s="50" t="s">
        <v>580</v>
      </c>
      <c r="D482" s="79" t="s">
        <v>119</v>
      </c>
      <c r="E482" s="80" t="n">
        <v>46181</v>
      </c>
      <c r="F482" s="50" t="s">
        <v>832</v>
      </c>
      <c r="G482" s="81" t="s">
        <v>582</v>
      </c>
      <c r="H482" s="82" t="n">
        <v>893.45</v>
      </c>
      <c r="I482" s="37" t="s">
        <v>226</v>
      </c>
      <c r="J482" s="37" t="s">
        <v>77</v>
      </c>
      <c r="K482" s="37" t="str">
        <f aca="false">TRIM(IF($B482="UNASSIGNED","NO COST CENTRE ","")&amp;IF(ISNA(MATCH($C482,Mapping!$B$7:$B$36,0)),"UNMAPPED ","")&amp;IF(COUNTIFS($C$4:$C482,$C482,$F$4:$F482,$F482,$H$4:$H482,$H482)&gt;1,"DUPLICATE ","")&amp;IF(AND(NOT(ISNA(MATCH($C482,Mapping!$B$7:$B$36,0))),$H482&lt;-'Control Panel'!$E$16),"CREDIT ","")&amp;IF(AND(NOT(ISNA(MATCH($C482,Mapping!$B$7:$B$36,0))),COUNTIFS(Budget!$B$4:$B$107,$B482,Budget!$C$4:$C$107,$D482)=0),"NO BUDGET ",""))</f>
        <v/>
      </c>
      <c r="L482" s="83" t="str">
        <f aca="false">IF($K482="","OK",$K482)</f>
        <v>OK</v>
      </c>
      <c r="M482" s="47" t="str">
        <f aca="false">IF(EXACT($L482,$I482),"ok","CHECK")</f>
        <v>ok</v>
      </c>
    </row>
    <row r="483" customFormat="false" ht="12" hidden="false" customHeight="true" outlineLevel="0" collapsed="false">
      <c r="B483" s="50" t="s">
        <v>155</v>
      </c>
      <c r="C483" s="50" t="s">
        <v>301</v>
      </c>
      <c r="D483" s="79" t="s">
        <v>122</v>
      </c>
      <c r="E483" s="80" t="n">
        <v>46181</v>
      </c>
      <c r="F483" s="50" t="s">
        <v>833</v>
      </c>
      <c r="G483" s="81" t="s">
        <v>237</v>
      </c>
      <c r="H483" s="82" t="n">
        <v>1331.73</v>
      </c>
      <c r="I483" s="37" t="s">
        <v>226</v>
      </c>
      <c r="J483" s="37" t="s">
        <v>77</v>
      </c>
      <c r="K483" s="37" t="str">
        <f aca="false">TRIM(IF($B483="UNASSIGNED","NO COST CENTRE ","")&amp;IF(ISNA(MATCH($C483,Mapping!$B$7:$B$36,0)),"UNMAPPED ","")&amp;IF(COUNTIFS($C$4:$C483,$C483,$F$4:$F483,$F483,$H$4:$H483,$H483)&gt;1,"DUPLICATE ","")&amp;IF(AND(NOT(ISNA(MATCH($C483,Mapping!$B$7:$B$36,0))),$H483&lt;-'Control Panel'!$E$16),"CREDIT ","")&amp;IF(AND(NOT(ISNA(MATCH($C483,Mapping!$B$7:$B$36,0))),COUNTIFS(Budget!$B$4:$B$107,$B483,Budget!$C$4:$C$107,$D483)=0),"NO BUDGET ",""))</f>
        <v/>
      </c>
      <c r="L483" s="83" t="str">
        <f aca="false">IF($K483="","OK",$K483)</f>
        <v>OK</v>
      </c>
      <c r="M483" s="47" t="str">
        <f aca="false">IF(EXACT($L483,$I483),"ok","CHECK")</f>
        <v>ok</v>
      </c>
    </row>
    <row r="484" customFormat="false" ht="12" hidden="false" customHeight="true" outlineLevel="0" collapsed="false">
      <c r="B484" s="50" t="s">
        <v>155</v>
      </c>
      <c r="C484" s="50" t="s">
        <v>580</v>
      </c>
      <c r="D484" s="79" t="s">
        <v>119</v>
      </c>
      <c r="E484" s="80" t="n">
        <v>46182</v>
      </c>
      <c r="F484" s="50" t="s">
        <v>834</v>
      </c>
      <c r="G484" s="81" t="s">
        <v>835</v>
      </c>
      <c r="H484" s="82" t="n">
        <v>1889.59</v>
      </c>
      <c r="I484" s="37" t="s">
        <v>226</v>
      </c>
      <c r="J484" s="37" t="s">
        <v>77</v>
      </c>
      <c r="K484" s="37" t="str">
        <f aca="false">TRIM(IF($B484="UNASSIGNED","NO COST CENTRE ","")&amp;IF(ISNA(MATCH($C484,Mapping!$B$7:$B$36,0)),"UNMAPPED ","")&amp;IF(COUNTIFS($C$4:$C484,$C484,$F$4:$F484,$F484,$H$4:$H484,$H484)&gt;1,"DUPLICATE ","")&amp;IF(AND(NOT(ISNA(MATCH($C484,Mapping!$B$7:$B$36,0))),$H484&lt;-'Control Panel'!$E$16),"CREDIT ","")&amp;IF(AND(NOT(ISNA(MATCH($C484,Mapping!$B$7:$B$36,0))),COUNTIFS(Budget!$B$4:$B$107,$B484,Budget!$C$4:$C$107,$D484)=0),"NO BUDGET ",""))</f>
        <v/>
      </c>
      <c r="L484" s="83" t="str">
        <f aca="false">IF($K484="","OK",$K484)</f>
        <v>OK</v>
      </c>
      <c r="M484" s="47" t="str">
        <f aca="false">IF(EXACT($L484,$I484),"ok","CHECK")</f>
        <v>ok</v>
      </c>
    </row>
    <row r="485" customFormat="false" ht="12" hidden="false" customHeight="true" outlineLevel="0" collapsed="false">
      <c r="B485" s="50" t="s">
        <v>155</v>
      </c>
      <c r="C485" s="50" t="s">
        <v>241</v>
      </c>
      <c r="D485" s="79" t="s">
        <v>111</v>
      </c>
      <c r="E485" s="80" t="n">
        <v>46182</v>
      </c>
      <c r="F485" s="50" t="s">
        <v>836</v>
      </c>
      <c r="G485" s="81" t="s">
        <v>246</v>
      </c>
      <c r="H485" s="82" t="n">
        <v>1108.44</v>
      </c>
      <c r="I485" s="37" t="s">
        <v>226</v>
      </c>
      <c r="J485" s="37" t="s">
        <v>77</v>
      </c>
      <c r="K485" s="37" t="str">
        <f aca="false">TRIM(IF($B485="UNASSIGNED","NO COST CENTRE ","")&amp;IF(ISNA(MATCH($C485,Mapping!$B$7:$B$36,0)),"UNMAPPED ","")&amp;IF(COUNTIFS($C$4:$C485,$C485,$F$4:$F485,$F485,$H$4:$H485,$H485)&gt;1,"DUPLICATE ","")&amp;IF(AND(NOT(ISNA(MATCH($C485,Mapping!$B$7:$B$36,0))),$H485&lt;-'Control Panel'!$E$16),"CREDIT ","")&amp;IF(AND(NOT(ISNA(MATCH($C485,Mapping!$B$7:$B$36,0))),COUNTIFS(Budget!$B$4:$B$107,$B485,Budget!$C$4:$C$107,$D485)=0),"NO BUDGET ",""))</f>
        <v/>
      </c>
      <c r="L485" s="83" t="str">
        <f aca="false">IF($K485="","OK",$K485)</f>
        <v>OK</v>
      </c>
      <c r="M485" s="47" t="str">
        <f aca="false">IF(EXACT($L485,$I485),"ok","CHECK")</f>
        <v>ok</v>
      </c>
    </row>
    <row r="486" customFormat="false" ht="12" hidden="false" customHeight="true" outlineLevel="0" collapsed="false">
      <c r="B486" s="50" t="s">
        <v>155</v>
      </c>
      <c r="C486" s="50" t="s">
        <v>241</v>
      </c>
      <c r="D486" s="79" t="s">
        <v>111</v>
      </c>
      <c r="E486" s="80" t="n">
        <v>46182</v>
      </c>
      <c r="F486" s="50" t="s">
        <v>837</v>
      </c>
      <c r="G486" s="81" t="s">
        <v>261</v>
      </c>
      <c r="H486" s="82" t="n">
        <v>1452.59</v>
      </c>
      <c r="I486" s="37" t="s">
        <v>226</v>
      </c>
      <c r="J486" s="37" t="s">
        <v>77</v>
      </c>
      <c r="K486" s="37" t="str">
        <f aca="false">TRIM(IF($B486="UNASSIGNED","NO COST CENTRE ","")&amp;IF(ISNA(MATCH($C486,Mapping!$B$7:$B$36,0)),"UNMAPPED ","")&amp;IF(COUNTIFS($C$4:$C486,$C486,$F$4:$F486,$F486,$H$4:$H486,$H486)&gt;1,"DUPLICATE ","")&amp;IF(AND(NOT(ISNA(MATCH($C486,Mapping!$B$7:$B$36,0))),$H486&lt;-'Control Panel'!$E$16),"CREDIT ","")&amp;IF(AND(NOT(ISNA(MATCH($C486,Mapping!$B$7:$B$36,0))),COUNTIFS(Budget!$B$4:$B$107,$B486,Budget!$C$4:$C$107,$D486)=0),"NO BUDGET ",""))</f>
        <v/>
      </c>
      <c r="L486" s="83" t="str">
        <f aca="false">IF($K486="","OK",$K486)</f>
        <v>OK</v>
      </c>
      <c r="M486" s="47" t="str">
        <f aca="false">IF(EXACT($L486,$I486),"ok","CHECK")</f>
        <v>ok</v>
      </c>
    </row>
    <row r="487" customFormat="false" ht="12" hidden="false" customHeight="true" outlineLevel="0" collapsed="false">
      <c r="B487" s="50" t="s">
        <v>155</v>
      </c>
      <c r="C487" s="50" t="s">
        <v>301</v>
      </c>
      <c r="D487" s="79" t="s">
        <v>122</v>
      </c>
      <c r="E487" s="80" t="n">
        <v>46182</v>
      </c>
      <c r="F487" s="50" t="s">
        <v>838</v>
      </c>
      <c r="G487" s="81" t="s">
        <v>237</v>
      </c>
      <c r="H487" s="82" t="n">
        <v>872.73</v>
      </c>
      <c r="I487" s="37" t="s">
        <v>226</v>
      </c>
      <c r="J487" s="37" t="s">
        <v>77</v>
      </c>
      <c r="K487" s="37" t="str">
        <f aca="false">TRIM(IF($B487="UNASSIGNED","NO COST CENTRE ","")&amp;IF(ISNA(MATCH($C487,Mapping!$B$7:$B$36,0)),"UNMAPPED ","")&amp;IF(COUNTIFS($C$4:$C487,$C487,$F$4:$F487,$F487,$H$4:$H487,$H487)&gt;1,"DUPLICATE ","")&amp;IF(AND(NOT(ISNA(MATCH($C487,Mapping!$B$7:$B$36,0))),$H487&lt;-'Control Panel'!$E$16),"CREDIT ","")&amp;IF(AND(NOT(ISNA(MATCH($C487,Mapping!$B$7:$B$36,0))),COUNTIFS(Budget!$B$4:$B$107,$B487,Budget!$C$4:$C$107,$D487)=0),"NO BUDGET ",""))</f>
        <v/>
      </c>
      <c r="L487" s="83" t="str">
        <f aca="false">IF($K487="","OK",$K487)</f>
        <v>OK</v>
      </c>
      <c r="M487" s="47" t="str">
        <f aca="false">IF(EXACT($L487,$I487),"ok","CHECK")</f>
        <v>ok</v>
      </c>
    </row>
    <row r="488" customFormat="false" ht="12" hidden="false" customHeight="true" outlineLevel="0" collapsed="false">
      <c r="B488" s="50" t="s">
        <v>155</v>
      </c>
      <c r="C488" s="50" t="s">
        <v>839</v>
      </c>
      <c r="D488" s="79" t="s">
        <v>121</v>
      </c>
      <c r="E488" s="80" t="n">
        <v>46183</v>
      </c>
      <c r="F488" s="50" t="s">
        <v>840</v>
      </c>
      <c r="G488" s="81" t="s">
        <v>841</v>
      </c>
      <c r="H488" s="82" t="n">
        <v>5707.11</v>
      </c>
      <c r="I488" s="37" t="s">
        <v>226</v>
      </c>
      <c r="J488" s="37" t="s">
        <v>77</v>
      </c>
      <c r="K488" s="37" t="str">
        <f aca="false">TRIM(IF($B488="UNASSIGNED","NO COST CENTRE ","")&amp;IF(ISNA(MATCH($C488,Mapping!$B$7:$B$36,0)),"UNMAPPED ","")&amp;IF(COUNTIFS($C$4:$C488,$C488,$F$4:$F488,$F488,$H$4:$H488,$H488)&gt;1,"DUPLICATE ","")&amp;IF(AND(NOT(ISNA(MATCH($C488,Mapping!$B$7:$B$36,0))),$H488&lt;-'Control Panel'!$E$16),"CREDIT ","")&amp;IF(AND(NOT(ISNA(MATCH($C488,Mapping!$B$7:$B$36,0))),COUNTIFS(Budget!$B$4:$B$107,$B488,Budget!$C$4:$C$107,$D488)=0),"NO BUDGET ",""))</f>
        <v/>
      </c>
      <c r="L488" s="83" t="str">
        <f aca="false">IF($K488="","OK",$K488)</f>
        <v>OK</v>
      </c>
      <c r="M488" s="47" t="str">
        <f aca="false">IF(EXACT($L488,$I488),"ok","CHECK")</f>
        <v>ok</v>
      </c>
    </row>
    <row r="489" customFormat="false" ht="12" hidden="false" customHeight="true" outlineLevel="0" collapsed="false">
      <c r="B489" s="50" t="s">
        <v>155</v>
      </c>
      <c r="C489" s="50" t="s">
        <v>765</v>
      </c>
      <c r="D489" s="79" t="s">
        <v>119</v>
      </c>
      <c r="E489" s="80" t="n">
        <v>46184</v>
      </c>
      <c r="F489" s="50" t="s">
        <v>842</v>
      </c>
      <c r="G489" s="81" t="s">
        <v>843</v>
      </c>
      <c r="H489" s="82" t="n">
        <v>1178.03</v>
      </c>
      <c r="I489" s="37" t="s">
        <v>226</v>
      </c>
      <c r="J489" s="37" t="s">
        <v>77</v>
      </c>
      <c r="K489" s="37" t="str">
        <f aca="false">TRIM(IF($B489="UNASSIGNED","NO COST CENTRE ","")&amp;IF(ISNA(MATCH($C489,Mapping!$B$7:$B$36,0)),"UNMAPPED ","")&amp;IF(COUNTIFS($C$4:$C489,$C489,$F$4:$F489,$F489,$H$4:$H489,$H489)&gt;1,"DUPLICATE ","")&amp;IF(AND(NOT(ISNA(MATCH($C489,Mapping!$B$7:$B$36,0))),$H489&lt;-'Control Panel'!$E$16),"CREDIT ","")&amp;IF(AND(NOT(ISNA(MATCH($C489,Mapping!$B$7:$B$36,0))),COUNTIFS(Budget!$B$4:$B$107,$B489,Budget!$C$4:$C$107,$D489)=0),"NO BUDGET ",""))</f>
        <v/>
      </c>
      <c r="L489" s="83" t="str">
        <f aca="false">IF($K489="","OK",$K489)</f>
        <v>OK</v>
      </c>
      <c r="M489" s="47" t="str">
        <f aca="false">IF(EXACT($L489,$I489),"ok","CHECK")</f>
        <v>ok</v>
      </c>
    </row>
    <row r="490" customFormat="false" ht="12" hidden="false" customHeight="true" outlineLevel="0" collapsed="false">
      <c r="B490" s="50" t="s">
        <v>155</v>
      </c>
      <c r="C490" s="50" t="s">
        <v>219</v>
      </c>
      <c r="D490" s="79" t="s">
        <v>118</v>
      </c>
      <c r="E490" s="80" t="n">
        <v>46185</v>
      </c>
      <c r="F490" s="50" t="s">
        <v>844</v>
      </c>
      <c r="G490" s="81" t="s">
        <v>389</v>
      </c>
      <c r="H490" s="82" t="n">
        <v>1459.15</v>
      </c>
      <c r="I490" s="37" t="s">
        <v>226</v>
      </c>
      <c r="J490" s="37" t="s">
        <v>77</v>
      </c>
      <c r="K490" s="37" t="str">
        <f aca="false">TRIM(IF($B490="UNASSIGNED","NO COST CENTRE ","")&amp;IF(ISNA(MATCH($C490,Mapping!$B$7:$B$36,0)),"UNMAPPED ","")&amp;IF(COUNTIFS($C$4:$C490,$C490,$F$4:$F490,$F490,$H$4:$H490,$H490)&gt;1,"DUPLICATE ","")&amp;IF(AND(NOT(ISNA(MATCH($C490,Mapping!$B$7:$B$36,0))),$H490&lt;-'Control Panel'!$E$16),"CREDIT ","")&amp;IF(AND(NOT(ISNA(MATCH($C490,Mapping!$B$7:$B$36,0))),COUNTIFS(Budget!$B$4:$B$107,$B490,Budget!$C$4:$C$107,$D490)=0),"NO BUDGET ",""))</f>
        <v/>
      </c>
      <c r="L490" s="83" t="str">
        <f aca="false">IF($K490="","OK",$K490)</f>
        <v>OK</v>
      </c>
      <c r="M490" s="47" t="str">
        <f aca="false">IF(EXACT($L490,$I490),"ok","CHECK")</f>
        <v>ok</v>
      </c>
    </row>
    <row r="491" customFormat="false" ht="12" hidden="false" customHeight="true" outlineLevel="0" collapsed="false">
      <c r="B491" s="50" t="s">
        <v>155</v>
      </c>
      <c r="C491" s="50" t="s">
        <v>241</v>
      </c>
      <c r="D491" s="79" t="s">
        <v>111</v>
      </c>
      <c r="E491" s="80" t="n">
        <v>46186</v>
      </c>
      <c r="F491" s="50" t="s">
        <v>845</v>
      </c>
      <c r="G491" s="81" t="s">
        <v>318</v>
      </c>
      <c r="H491" s="82" t="n">
        <v>1187.25</v>
      </c>
      <c r="I491" s="37" t="s">
        <v>226</v>
      </c>
      <c r="J491" s="37" t="s">
        <v>77</v>
      </c>
      <c r="K491" s="37" t="str">
        <f aca="false">TRIM(IF($B491="UNASSIGNED","NO COST CENTRE ","")&amp;IF(ISNA(MATCH($C491,Mapping!$B$7:$B$36,0)),"UNMAPPED ","")&amp;IF(COUNTIFS($C$4:$C491,$C491,$F$4:$F491,$F491,$H$4:$H491,$H491)&gt;1,"DUPLICATE ","")&amp;IF(AND(NOT(ISNA(MATCH($C491,Mapping!$B$7:$B$36,0))),$H491&lt;-'Control Panel'!$E$16),"CREDIT ","")&amp;IF(AND(NOT(ISNA(MATCH($C491,Mapping!$B$7:$B$36,0))),COUNTIFS(Budget!$B$4:$B$107,$B491,Budget!$C$4:$C$107,$D491)=0),"NO BUDGET ",""))</f>
        <v/>
      </c>
      <c r="L491" s="83" t="str">
        <f aca="false">IF($K491="","OK",$K491)</f>
        <v>OK</v>
      </c>
      <c r="M491" s="47" t="str">
        <f aca="false">IF(EXACT($L491,$I491),"ok","CHECK")</f>
        <v>ok</v>
      </c>
    </row>
    <row r="492" customFormat="false" ht="12" hidden="false" customHeight="true" outlineLevel="0" collapsed="false">
      <c r="B492" s="50" t="s">
        <v>155</v>
      </c>
      <c r="C492" s="50" t="s">
        <v>241</v>
      </c>
      <c r="D492" s="79" t="s">
        <v>111</v>
      </c>
      <c r="E492" s="80" t="n">
        <v>46187</v>
      </c>
      <c r="F492" s="50" t="s">
        <v>846</v>
      </c>
      <c r="G492" s="81" t="s">
        <v>342</v>
      </c>
      <c r="H492" s="82" t="n">
        <v>1607.4</v>
      </c>
      <c r="I492" s="37" t="s">
        <v>226</v>
      </c>
      <c r="J492" s="37" t="s">
        <v>77</v>
      </c>
      <c r="K492" s="37" t="str">
        <f aca="false">TRIM(IF($B492="UNASSIGNED","NO COST CENTRE ","")&amp;IF(ISNA(MATCH($C492,Mapping!$B$7:$B$36,0)),"UNMAPPED ","")&amp;IF(COUNTIFS($C$4:$C492,$C492,$F$4:$F492,$F492,$H$4:$H492,$H492)&gt;1,"DUPLICATE ","")&amp;IF(AND(NOT(ISNA(MATCH($C492,Mapping!$B$7:$B$36,0))),$H492&lt;-'Control Panel'!$E$16),"CREDIT ","")&amp;IF(AND(NOT(ISNA(MATCH($C492,Mapping!$B$7:$B$36,0))),COUNTIFS(Budget!$B$4:$B$107,$B492,Budget!$C$4:$C$107,$D492)=0),"NO BUDGET ",""))</f>
        <v/>
      </c>
      <c r="L492" s="83" t="str">
        <f aca="false">IF($K492="","OK",$K492)</f>
        <v>OK</v>
      </c>
      <c r="M492" s="47" t="str">
        <f aca="false">IF(EXACT($L492,$I492),"ok","CHECK")</f>
        <v>ok</v>
      </c>
    </row>
    <row r="493" customFormat="false" ht="12" hidden="false" customHeight="true" outlineLevel="0" collapsed="false">
      <c r="B493" s="50" t="s">
        <v>155</v>
      </c>
      <c r="C493" s="50" t="s">
        <v>241</v>
      </c>
      <c r="D493" s="79" t="s">
        <v>111</v>
      </c>
      <c r="E493" s="80" t="n">
        <v>46187</v>
      </c>
      <c r="F493" s="50" t="s">
        <v>847</v>
      </c>
      <c r="G493" s="81" t="s">
        <v>261</v>
      </c>
      <c r="H493" s="82" t="n">
        <v>1721.94</v>
      </c>
      <c r="I493" s="37" t="s">
        <v>226</v>
      </c>
      <c r="J493" s="37" t="s">
        <v>77</v>
      </c>
      <c r="K493" s="37" t="str">
        <f aca="false">TRIM(IF($B493="UNASSIGNED","NO COST CENTRE ","")&amp;IF(ISNA(MATCH($C493,Mapping!$B$7:$B$36,0)),"UNMAPPED ","")&amp;IF(COUNTIFS($C$4:$C493,$C493,$F$4:$F493,$F493,$H$4:$H493,$H493)&gt;1,"DUPLICATE ","")&amp;IF(AND(NOT(ISNA(MATCH($C493,Mapping!$B$7:$B$36,0))),$H493&lt;-'Control Panel'!$E$16),"CREDIT ","")&amp;IF(AND(NOT(ISNA(MATCH($C493,Mapping!$B$7:$B$36,0))),COUNTIFS(Budget!$B$4:$B$107,$B493,Budget!$C$4:$C$107,$D493)=0),"NO BUDGET ",""))</f>
        <v/>
      </c>
      <c r="L493" s="83" t="str">
        <f aca="false">IF($K493="","OK",$K493)</f>
        <v>OK</v>
      </c>
      <c r="M493" s="47" t="str">
        <f aca="false">IF(EXACT($L493,$I493),"ok","CHECK")</f>
        <v>ok</v>
      </c>
    </row>
    <row r="494" customFormat="false" ht="12" hidden="false" customHeight="true" outlineLevel="0" collapsed="false">
      <c r="B494" s="50" t="s">
        <v>155</v>
      </c>
      <c r="C494" s="50" t="s">
        <v>676</v>
      </c>
      <c r="D494" s="79" t="s">
        <v>116</v>
      </c>
      <c r="E494" s="80" t="n">
        <v>46190</v>
      </c>
      <c r="F494" s="50" t="s">
        <v>848</v>
      </c>
      <c r="G494" s="81" t="s">
        <v>849</v>
      </c>
      <c r="H494" s="82" t="n">
        <v>10331.43</v>
      </c>
      <c r="I494" s="37" t="s">
        <v>226</v>
      </c>
      <c r="J494" s="37" t="s">
        <v>77</v>
      </c>
      <c r="K494" s="37" t="str">
        <f aca="false">TRIM(IF($B494="UNASSIGNED","NO COST CENTRE ","")&amp;IF(ISNA(MATCH($C494,Mapping!$B$7:$B$36,0)),"UNMAPPED ","")&amp;IF(COUNTIFS($C$4:$C494,$C494,$F$4:$F494,$F494,$H$4:$H494,$H494)&gt;1,"DUPLICATE ","")&amp;IF(AND(NOT(ISNA(MATCH($C494,Mapping!$B$7:$B$36,0))),$H494&lt;-'Control Panel'!$E$16),"CREDIT ","")&amp;IF(AND(NOT(ISNA(MATCH($C494,Mapping!$B$7:$B$36,0))),COUNTIFS(Budget!$B$4:$B$107,$B494,Budget!$C$4:$C$107,$D494)=0),"NO BUDGET ",""))</f>
        <v/>
      </c>
      <c r="L494" s="83" t="str">
        <f aca="false">IF($K494="","OK",$K494)</f>
        <v>OK</v>
      </c>
      <c r="M494" s="47" t="str">
        <f aca="false">IF(EXACT($L494,$I494),"ok","CHECK")</f>
        <v>ok</v>
      </c>
    </row>
    <row r="495" customFormat="false" ht="12" hidden="false" customHeight="true" outlineLevel="0" collapsed="false">
      <c r="B495" s="50" t="s">
        <v>155</v>
      </c>
      <c r="C495" s="50" t="s">
        <v>241</v>
      </c>
      <c r="D495" s="79" t="s">
        <v>111</v>
      </c>
      <c r="E495" s="80" t="n">
        <v>46190</v>
      </c>
      <c r="F495" s="50" t="s">
        <v>850</v>
      </c>
      <c r="G495" s="81" t="s">
        <v>291</v>
      </c>
      <c r="H495" s="82" t="n">
        <v>898.4</v>
      </c>
      <c r="I495" s="37" t="s">
        <v>226</v>
      </c>
      <c r="J495" s="37" t="s">
        <v>77</v>
      </c>
      <c r="K495" s="37" t="str">
        <f aca="false">TRIM(IF($B495="UNASSIGNED","NO COST CENTRE ","")&amp;IF(ISNA(MATCH($C495,Mapping!$B$7:$B$36,0)),"UNMAPPED ","")&amp;IF(COUNTIFS($C$4:$C495,$C495,$F$4:$F495,$F495,$H$4:$H495,$H495)&gt;1,"DUPLICATE ","")&amp;IF(AND(NOT(ISNA(MATCH($C495,Mapping!$B$7:$B$36,0))),$H495&lt;-'Control Panel'!$E$16),"CREDIT ","")&amp;IF(AND(NOT(ISNA(MATCH($C495,Mapping!$B$7:$B$36,0))),COUNTIFS(Budget!$B$4:$B$107,$B495,Budget!$C$4:$C$107,$D495)=0),"NO BUDGET ",""))</f>
        <v/>
      </c>
      <c r="L495" s="83" t="str">
        <f aca="false">IF($K495="","OK",$K495)</f>
        <v>OK</v>
      </c>
      <c r="M495" s="47" t="str">
        <f aca="false">IF(EXACT($L495,$I495),"ok","CHECK")</f>
        <v>ok</v>
      </c>
    </row>
    <row r="496" customFormat="false" ht="12" hidden="false" customHeight="true" outlineLevel="0" collapsed="false">
      <c r="B496" s="50" t="s">
        <v>155</v>
      </c>
      <c r="C496" s="50" t="s">
        <v>851</v>
      </c>
      <c r="D496" s="79" t="s">
        <v>116</v>
      </c>
      <c r="E496" s="80" t="n">
        <v>46191</v>
      </c>
      <c r="F496" s="50" t="s">
        <v>852</v>
      </c>
      <c r="G496" s="81" t="s">
        <v>849</v>
      </c>
      <c r="H496" s="82" t="n">
        <v>12222.23</v>
      </c>
      <c r="I496" s="37" t="s">
        <v>226</v>
      </c>
      <c r="J496" s="37" t="s">
        <v>77</v>
      </c>
      <c r="K496" s="37" t="str">
        <f aca="false">TRIM(IF($B496="UNASSIGNED","NO COST CENTRE ","")&amp;IF(ISNA(MATCH($C496,Mapping!$B$7:$B$36,0)),"UNMAPPED ","")&amp;IF(COUNTIFS($C$4:$C496,$C496,$F$4:$F496,$F496,$H$4:$H496,$H496)&gt;1,"DUPLICATE ","")&amp;IF(AND(NOT(ISNA(MATCH($C496,Mapping!$B$7:$B$36,0))),$H496&lt;-'Control Panel'!$E$16),"CREDIT ","")&amp;IF(AND(NOT(ISNA(MATCH($C496,Mapping!$B$7:$B$36,0))),COUNTIFS(Budget!$B$4:$B$107,$B496,Budget!$C$4:$C$107,$D496)=0),"NO BUDGET ",""))</f>
        <v/>
      </c>
      <c r="L496" s="83" t="str">
        <f aca="false">IF($K496="","OK",$K496)</f>
        <v>OK</v>
      </c>
      <c r="M496" s="47" t="str">
        <f aca="false">IF(EXACT($L496,$I496),"ok","CHECK")</f>
        <v>ok</v>
      </c>
    </row>
    <row r="497" customFormat="false" ht="12" hidden="false" customHeight="true" outlineLevel="0" collapsed="false">
      <c r="B497" s="50" t="s">
        <v>155</v>
      </c>
      <c r="C497" s="50" t="s">
        <v>765</v>
      </c>
      <c r="D497" s="79" t="s">
        <v>119</v>
      </c>
      <c r="E497" s="80" t="n">
        <v>46191</v>
      </c>
      <c r="F497" s="50" t="s">
        <v>853</v>
      </c>
      <c r="G497" s="81" t="s">
        <v>835</v>
      </c>
      <c r="H497" s="82" t="n">
        <v>1745.88</v>
      </c>
      <c r="I497" s="37" t="s">
        <v>226</v>
      </c>
      <c r="J497" s="37" t="s">
        <v>77</v>
      </c>
      <c r="K497" s="37" t="str">
        <f aca="false">TRIM(IF($B497="UNASSIGNED","NO COST CENTRE ","")&amp;IF(ISNA(MATCH($C497,Mapping!$B$7:$B$36,0)),"UNMAPPED ","")&amp;IF(COUNTIFS($C$4:$C497,$C497,$F$4:$F497,$F497,$H$4:$H497,$H497)&gt;1,"DUPLICATE ","")&amp;IF(AND(NOT(ISNA(MATCH($C497,Mapping!$B$7:$B$36,0))),$H497&lt;-'Control Panel'!$E$16),"CREDIT ","")&amp;IF(AND(NOT(ISNA(MATCH($C497,Mapping!$B$7:$B$36,0))),COUNTIFS(Budget!$B$4:$B$107,$B497,Budget!$C$4:$C$107,$D497)=0),"NO BUDGET ",""))</f>
        <v/>
      </c>
      <c r="L497" s="83" t="str">
        <f aca="false">IF($K497="","OK",$K497)</f>
        <v>OK</v>
      </c>
      <c r="M497" s="47" t="str">
        <f aca="false">IF(EXACT($L497,$I497),"ok","CHECK")</f>
        <v>ok</v>
      </c>
    </row>
    <row r="498" customFormat="false" ht="12" hidden="false" customHeight="true" outlineLevel="0" collapsed="false">
      <c r="B498" s="50" t="s">
        <v>155</v>
      </c>
      <c r="C498" s="50" t="s">
        <v>227</v>
      </c>
      <c r="D498" s="79" t="s">
        <v>112</v>
      </c>
      <c r="E498" s="80" t="n">
        <v>46191</v>
      </c>
      <c r="F498" s="50" t="s">
        <v>854</v>
      </c>
      <c r="G498" s="81" t="s">
        <v>229</v>
      </c>
      <c r="H498" s="82" t="n">
        <v>3408.53</v>
      </c>
      <c r="I498" s="37" t="s">
        <v>226</v>
      </c>
      <c r="J498" s="37" t="s">
        <v>77</v>
      </c>
      <c r="K498" s="37" t="str">
        <f aca="false">TRIM(IF($B498="UNASSIGNED","NO COST CENTRE ","")&amp;IF(ISNA(MATCH($C498,Mapping!$B$7:$B$36,0)),"UNMAPPED ","")&amp;IF(COUNTIFS($C$4:$C498,$C498,$F$4:$F498,$F498,$H$4:$H498,$H498)&gt;1,"DUPLICATE ","")&amp;IF(AND(NOT(ISNA(MATCH($C498,Mapping!$B$7:$B$36,0))),$H498&lt;-'Control Panel'!$E$16),"CREDIT ","")&amp;IF(AND(NOT(ISNA(MATCH($C498,Mapping!$B$7:$B$36,0))),COUNTIFS(Budget!$B$4:$B$107,$B498,Budget!$C$4:$C$107,$D498)=0),"NO BUDGET ",""))</f>
        <v/>
      </c>
      <c r="L498" s="83" t="str">
        <f aca="false">IF($K498="","OK",$K498)</f>
        <v>OK</v>
      </c>
      <c r="M498" s="47" t="str">
        <f aca="false">IF(EXACT($L498,$I498),"ok","CHECK")</f>
        <v>ok</v>
      </c>
    </row>
    <row r="499" customFormat="false" ht="12" hidden="false" customHeight="true" outlineLevel="0" collapsed="false">
      <c r="B499" s="50" t="s">
        <v>155</v>
      </c>
      <c r="C499" s="50" t="s">
        <v>244</v>
      </c>
      <c r="D499" s="79" t="s">
        <v>111</v>
      </c>
      <c r="E499" s="80" t="n">
        <v>46191</v>
      </c>
      <c r="F499" s="50" t="s">
        <v>855</v>
      </c>
      <c r="G499" s="81" t="s">
        <v>246</v>
      </c>
      <c r="H499" s="82" t="n">
        <v>1347.75</v>
      </c>
      <c r="I499" s="37" t="s">
        <v>226</v>
      </c>
      <c r="J499" s="37" t="s">
        <v>77</v>
      </c>
      <c r="K499" s="37" t="str">
        <f aca="false">TRIM(IF($B499="UNASSIGNED","NO COST CENTRE ","")&amp;IF(ISNA(MATCH($C499,Mapping!$B$7:$B$36,0)),"UNMAPPED ","")&amp;IF(COUNTIFS($C$4:$C499,$C499,$F$4:$F499,$F499,$H$4:$H499,$H499)&gt;1,"DUPLICATE ","")&amp;IF(AND(NOT(ISNA(MATCH($C499,Mapping!$B$7:$B$36,0))),$H499&lt;-'Control Panel'!$E$16),"CREDIT ","")&amp;IF(AND(NOT(ISNA(MATCH($C499,Mapping!$B$7:$B$36,0))),COUNTIFS(Budget!$B$4:$B$107,$B499,Budget!$C$4:$C$107,$D499)=0),"NO BUDGET ",""))</f>
        <v/>
      </c>
      <c r="L499" s="83" t="str">
        <f aca="false">IF($K499="","OK",$K499)</f>
        <v>OK</v>
      </c>
      <c r="M499" s="47" t="str">
        <f aca="false">IF(EXACT($L499,$I499),"ok","CHECK")</f>
        <v>ok</v>
      </c>
    </row>
    <row r="500" customFormat="false" ht="12" hidden="false" customHeight="true" outlineLevel="0" collapsed="false">
      <c r="B500" s="50" t="s">
        <v>155</v>
      </c>
      <c r="C500" s="50" t="s">
        <v>765</v>
      </c>
      <c r="D500" s="79" t="s">
        <v>119</v>
      </c>
      <c r="E500" s="80" t="n">
        <v>46192</v>
      </c>
      <c r="F500" s="50" t="s">
        <v>856</v>
      </c>
      <c r="G500" s="81" t="s">
        <v>767</v>
      </c>
      <c r="H500" s="82" t="n">
        <v>1243.09</v>
      </c>
      <c r="I500" s="37" t="s">
        <v>226</v>
      </c>
      <c r="J500" s="37" t="s">
        <v>77</v>
      </c>
      <c r="K500" s="37" t="str">
        <f aca="false">TRIM(IF($B500="UNASSIGNED","NO COST CENTRE ","")&amp;IF(ISNA(MATCH($C500,Mapping!$B$7:$B$36,0)),"UNMAPPED ","")&amp;IF(COUNTIFS($C$4:$C500,$C500,$F$4:$F500,$F500,$H$4:$H500,$H500)&gt;1,"DUPLICATE ","")&amp;IF(AND(NOT(ISNA(MATCH($C500,Mapping!$B$7:$B$36,0))),$H500&lt;-'Control Panel'!$E$16),"CREDIT ","")&amp;IF(AND(NOT(ISNA(MATCH($C500,Mapping!$B$7:$B$36,0))),COUNTIFS(Budget!$B$4:$B$107,$B500,Budget!$C$4:$C$107,$D500)=0),"NO BUDGET ",""))</f>
        <v/>
      </c>
      <c r="L500" s="83" t="str">
        <f aca="false">IF($K500="","OK",$K500)</f>
        <v>OK</v>
      </c>
      <c r="M500" s="47" t="str">
        <f aca="false">IF(EXACT($L500,$I500),"ok","CHECK")</f>
        <v>ok</v>
      </c>
    </row>
    <row r="501" customFormat="false" ht="12" hidden="false" customHeight="true" outlineLevel="0" collapsed="false">
      <c r="B501" s="50" t="s">
        <v>155</v>
      </c>
      <c r="C501" s="50" t="s">
        <v>765</v>
      </c>
      <c r="D501" s="79" t="s">
        <v>119</v>
      </c>
      <c r="E501" s="80" t="n">
        <v>46193</v>
      </c>
      <c r="F501" s="50" t="s">
        <v>857</v>
      </c>
      <c r="G501" s="81" t="s">
        <v>858</v>
      </c>
      <c r="H501" s="82" t="n">
        <v>1187.89</v>
      </c>
      <c r="I501" s="37" t="s">
        <v>226</v>
      </c>
      <c r="J501" s="37" t="s">
        <v>77</v>
      </c>
      <c r="K501" s="37" t="str">
        <f aca="false">TRIM(IF($B501="UNASSIGNED","NO COST CENTRE ","")&amp;IF(ISNA(MATCH($C501,Mapping!$B$7:$B$36,0)),"UNMAPPED ","")&amp;IF(COUNTIFS($C$4:$C501,$C501,$F$4:$F501,$F501,$H$4:$H501,$H501)&gt;1,"DUPLICATE ","")&amp;IF(AND(NOT(ISNA(MATCH($C501,Mapping!$B$7:$B$36,0))),$H501&lt;-'Control Panel'!$E$16),"CREDIT ","")&amp;IF(AND(NOT(ISNA(MATCH($C501,Mapping!$B$7:$B$36,0))),COUNTIFS(Budget!$B$4:$B$107,$B501,Budget!$C$4:$C$107,$D501)=0),"NO BUDGET ",""))</f>
        <v/>
      </c>
      <c r="L501" s="83" t="str">
        <f aca="false">IF($K501="","OK",$K501)</f>
        <v>OK</v>
      </c>
      <c r="M501" s="47" t="str">
        <f aca="false">IF(EXACT($L501,$I501),"ok","CHECK")</f>
        <v>ok</v>
      </c>
    </row>
    <row r="502" customFormat="false" ht="12" hidden="false" customHeight="true" outlineLevel="0" collapsed="false">
      <c r="B502" s="50" t="s">
        <v>155</v>
      </c>
      <c r="C502" s="50" t="s">
        <v>241</v>
      </c>
      <c r="D502" s="79" t="s">
        <v>111</v>
      </c>
      <c r="E502" s="80" t="n">
        <v>46193</v>
      </c>
      <c r="F502" s="50" t="s">
        <v>859</v>
      </c>
      <c r="G502" s="81" t="s">
        <v>288</v>
      </c>
      <c r="H502" s="82" t="n">
        <v>952.89</v>
      </c>
      <c r="I502" s="37" t="s">
        <v>226</v>
      </c>
      <c r="J502" s="37" t="s">
        <v>77</v>
      </c>
      <c r="K502" s="37" t="str">
        <f aca="false">TRIM(IF($B502="UNASSIGNED","NO COST CENTRE ","")&amp;IF(ISNA(MATCH($C502,Mapping!$B$7:$B$36,0)),"UNMAPPED ","")&amp;IF(COUNTIFS($C$4:$C502,$C502,$F$4:$F502,$F502,$H$4:$H502,$H502)&gt;1,"DUPLICATE ","")&amp;IF(AND(NOT(ISNA(MATCH($C502,Mapping!$B$7:$B$36,0))),$H502&lt;-'Control Panel'!$E$16),"CREDIT ","")&amp;IF(AND(NOT(ISNA(MATCH($C502,Mapping!$B$7:$B$36,0))),COUNTIFS(Budget!$B$4:$B$107,$B502,Budget!$C$4:$C$107,$D502)=0),"NO BUDGET ",""))</f>
        <v/>
      </c>
      <c r="L502" s="83" t="str">
        <f aca="false">IF($K502="","OK",$K502)</f>
        <v>OK</v>
      </c>
      <c r="M502" s="47" t="str">
        <f aca="false">IF(EXACT($L502,$I502),"ok","CHECK")</f>
        <v>ok</v>
      </c>
    </row>
    <row r="503" customFormat="false" ht="12" hidden="false" customHeight="true" outlineLevel="0" collapsed="false">
      <c r="B503" s="50" t="s">
        <v>155</v>
      </c>
      <c r="C503" s="50" t="s">
        <v>580</v>
      </c>
      <c r="D503" s="79" t="s">
        <v>119</v>
      </c>
      <c r="E503" s="80" t="n">
        <v>46194</v>
      </c>
      <c r="F503" s="50" t="s">
        <v>860</v>
      </c>
      <c r="G503" s="81" t="s">
        <v>812</v>
      </c>
      <c r="H503" s="82" t="n">
        <v>2005.12</v>
      </c>
      <c r="I503" s="37" t="s">
        <v>226</v>
      </c>
      <c r="J503" s="37" t="s">
        <v>77</v>
      </c>
      <c r="K503" s="37" t="str">
        <f aca="false">TRIM(IF($B503="UNASSIGNED","NO COST CENTRE ","")&amp;IF(ISNA(MATCH($C503,Mapping!$B$7:$B$36,0)),"UNMAPPED ","")&amp;IF(COUNTIFS($C$4:$C503,$C503,$F$4:$F503,$F503,$H$4:$H503,$H503)&gt;1,"DUPLICATE ","")&amp;IF(AND(NOT(ISNA(MATCH($C503,Mapping!$B$7:$B$36,0))),$H503&lt;-'Control Panel'!$E$16),"CREDIT ","")&amp;IF(AND(NOT(ISNA(MATCH($C503,Mapping!$B$7:$B$36,0))),COUNTIFS(Budget!$B$4:$B$107,$B503,Budget!$C$4:$C$107,$D503)=0),"NO BUDGET ",""))</f>
        <v/>
      </c>
      <c r="L503" s="83" t="str">
        <f aca="false">IF($K503="","OK",$K503)</f>
        <v>OK</v>
      </c>
      <c r="M503" s="47" t="str">
        <f aca="false">IF(EXACT($L503,$I503),"ok","CHECK")</f>
        <v>ok</v>
      </c>
    </row>
    <row r="504" customFormat="false" ht="12" hidden="false" customHeight="true" outlineLevel="0" collapsed="false">
      <c r="B504" s="50" t="s">
        <v>155</v>
      </c>
      <c r="C504" s="50" t="s">
        <v>580</v>
      </c>
      <c r="D504" s="79" t="s">
        <v>119</v>
      </c>
      <c r="E504" s="80" t="n">
        <v>46194</v>
      </c>
      <c r="F504" s="50" t="s">
        <v>861</v>
      </c>
      <c r="G504" s="81" t="s">
        <v>812</v>
      </c>
      <c r="H504" s="82" t="n">
        <v>1982.72</v>
      </c>
      <c r="I504" s="37" t="s">
        <v>226</v>
      </c>
      <c r="J504" s="37" t="s">
        <v>77</v>
      </c>
      <c r="K504" s="37" t="str">
        <f aca="false">TRIM(IF($B504="UNASSIGNED","NO COST CENTRE ","")&amp;IF(ISNA(MATCH($C504,Mapping!$B$7:$B$36,0)),"UNMAPPED ","")&amp;IF(COUNTIFS($C$4:$C504,$C504,$F$4:$F504,$F504,$H$4:$H504,$H504)&gt;1,"DUPLICATE ","")&amp;IF(AND(NOT(ISNA(MATCH($C504,Mapping!$B$7:$B$36,0))),$H504&lt;-'Control Panel'!$E$16),"CREDIT ","")&amp;IF(AND(NOT(ISNA(MATCH($C504,Mapping!$B$7:$B$36,0))),COUNTIFS(Budget!$B$4:$B$107,$B504,Budget!$C$4:$C$107,$D504)=0),"NO BUDGET ",""))</f>
        <v/>
      </c>
      <c r="L504" s="83" t="str">
        <f aca="false">IF($K504="","OK",$K504)</f>
        <v>OK</v>
      </c>
      <c r="M504" s="47" t="str">
        <f aca="false">IF(EXACT($L504,$I504),"ok","CHECK")</f>
        <v>ok</v>
      </c>
    </row>
    <row r="505" customFormat="false" ht="12" hidden="false" customHeight="true" outlineLevel="0" collapsed="false">
      <c r="B505" s="50" t="s">
        <v>155</v>
      </c>
      <c r="C505" s="50" t="s">
        <v>259</v>
      </c>
      <c r="D505" s="79" t="s">
        <v>111</v>
      </c>
      <c r="E505" s="80" t="n">
        <v>46196</v>
      </c>
      <c r="F505" s="50" t="s">
        <v>862</v>
      </c>
      <c r="G505" s="81" t="s">
        <v>318</v>
      </c>
      <c r="H505" s="82" t="n">
        <v>1765.91</v>
      </c>
      <c r="I505" s="37" t="s">
        <v>226</v>
      </c>
      <c r="J505" s="37" t="s">
        <v>77</v>
      </c>
      <c r="K505" s="37" t="str">
        <f aca="false">TRIM(IF($B505="UNASSIGNED","NO COST CENTRE ","")&amp;IF(ISNA(MATCH($C505,Mapping!$B$7:$B$36,0)),"UNMAPPED ","")&amp;IF(COUNTIFS($C$4:$C505,$C505,$F$4:$F505,$F505,$H$4:$H505,$H505)&gt;1,"DUPLICATE ","")&amp;IF(AND(NOT(ISNA(MATCH($C505,Mapping!$B$7:$B$36,0))),$H505&lt;-'Control Panel'!$E$16),"CREDIT ","")&amp;IF(AND(NOT(ISNA(MATCH($C505,Mapping!$B$7:$B$36,0))),COUNTIFS(Budget!$B$4:$B$107,$B505,Budget!$C$4:$C$107,$D505)=0),"NO BUDGET ",""))</f>
        <v/>
      </c>
      <c r="L505" s="83" t="str">
        <f aca="false">IF($K505="","OK",$K505)</f>
        <v>OK</v>
      </c>
      <c r="M505" s="47" t="str">
        <f aca="false">IF(EXACT($L505,$I505),"ok","CHECK")</f>
        <v>ok</v>
      </c>
    </row>
    <row r="506" customFormat="false" ht="12" hidden="false" customHeight="true" outlineLevel="0" collapsed="false">
      <c r="B506" s="50" t="s">
        <v>155</v>
      </c>
      <c r="C506" s="50" t="s">
        <v>580</v>
      </c>
      <c r="D506" s="79" t="s">
        <v>119</v>
      </c>
      <c r="E506" s="80" t="n">
        <v>46197</v>
      </c>
      <c r="F506" s="50" t="s">
        <v>863</v>
      </c>
      <c r="G506" s="81" t="s">
        <v>582</v>
      </c>
      <c r="H506" s="82" t="n">
        <v>1084.14</v>
      </c>
      <c r="I506" s="37" t="s">
        <v>226</v>
      </c>
      <c r="J506" s="37" t="s">
        <v>77</v>
      </c>
      <c r="K506" s="37" t="str">
        <f aca="false">TRIM(IF($B506="UNASSIGNED","NO COST CENTRE ","")&amp;IF(ISNA(MATCH($C506,Mapping!$B$7:$B$36,0)),"UNMAPPED ","")&amp;IF(COUNTIFS($C$4:$C506,$C506,$F$4:$F506,$F506,$H$4:$H506,$H506)&gt;1,"DUPLICATE ","")&amp;IF(AND(NOT(ISNA(MATCH($C506,Mapping!$B$7:$B$36,0))),$H506&lt;-'Control Panel'!$E$16),"CREDIT ","")&amp;IF(AND(NOT(ISNA(MATCH($C506,Mapping!$B$7:$B$36,0))),COUNTIFS(Budget!$B$4:$B$107,$B506,Budget!$C$4:$C$107,$D506)=0),"NO BUDGET ",""))</f>
        <v/>
      </c>
      <c r="L506" s="83" t="str">
        <f aca="false">IF($K506="","OK",$K506)</f>
        <v>OK</v>
      </c>
      <c r="M506" s="47" t="str">
        <f aca="false">IF(EXACT($L506,$I506),"ok","CHECK")</f>
        <v>ok</v>
      </c>
    </row>
    <row r="507" customFormat="false" ht="12" hidden="false" customHeight="true" outlineLevel="0" collapsed="false">
      <c r="B507" s="50" t="s">
        <v>155</v>
      </c>
      <c r="C507" s="50" t="s">
        <v>279</v>
      </c>
      <c r="D507" s="79" t="s">
        <v>118</v>
      </c>
      <c r="E507" s="80" t="n">
        <v>46197</v>
      </c>
      <c r="F507" s="50" t="s">
        <v>864</v>
      </c>
      <c r="G507" s="81" t="s">
        <v>281</v>
      </c>
      <c r="H507" s="82" t="n">
        <v>1355.41</v>
      </c>
      <c r="I507" s="37" t="s">
        <v>226</v>
      </c>
      <c r="J507" s="37" t="s">
        <v>77</v>
      </c>
      <c r="K507" s="37" t="str">
        <f aca="false">TRIM(IF($B507="UNASSIGNED","NO COST CENTRE ","")&amp;IF(ISNA(MATCH($C507,Mapping!$B$7:$B$36,0)),"UNMAPPED ","")&amp;IF(COUNTIFS($C$4:$C507,$C507,$F$4:$F507,$F507,$H$4:$H507,$H507)&gt;1,"DUPLICATE ","")&amp;IF(AND(NOT(ISNA(MATCH($C507,Mapping!$B$7:$B$36,0))),$H507&lt;-'Control Panel'!$E$16),"CREDIT ","")&amp;IF(AND(NOT(ISNA(MATCH($C507,Mapping!$B$7:$B$36,0))),COUNTIFS(Budget!$B$4:$B$107,$B507,Budget!$C$4:$C$107,$D507)=0),"NO BUDGET ",""))</f>
        <v/>
      </c>
      <c r="L507" s="83" t="str">
        <f aca="false">IF($K507="","OK",$K507)</f>
        <v>OK</v>
      </c>
      <c r="M507" s="47" t="str">
        <f aca="false">IF(EXACT($L507,$I507),"ok","CHECK")</f>
        <v>ok</v>
      </c>
    </row>
    <row r="508" customFormat="false" ht="12" hidden="false" customHeight="true" outlineLevel="0" collapsed="false">
      <c r="B508" s="50" t="s">
        <v>155</v>
      </c>
      <c r="C508" s="50" t="s">
        <v>524</v>
      </c>
      <c r="D508" s="79" t="s">
        <v>118</v>
      </c>
      <c r="E508" s="80" t="n">
        <v>46197</v>
      </c>
      <c r="F508" s="50" t="s">
        <v>865</v>
      </c>
      <c r="G508" s="81" t="s">
        <v>866</v>
      </c>
      <c r="H508" s="82" t="n">
        <v>1339.49</v>
      </c>
      <c r="I508" s="37" t="s">
        <v>226</v>
      </c>
      <c r="J508" s="37" t="s">
        <v>77</v>
      </c>
      <c r="K508" s="37" t="str">
        <f aca="false">TRIM(IF($B508="UNASSIGNED","NO COST CENTRE ","")&amp;IF(ISNA(MATCH($C508,Mapping!$B$7:$B$36,0)),"UNMAPPED ","")&amp;IF(COUNTIFS($C$4:$C508,$C508,$F$4:$F508,$F508,$H$4:$H508,$H508)&gt;1,"DUPLICATE ","")&amp;IF(AND(NOT(ISNA(MATCH($C508,Mapping!$B$7:$B$36,0))),$H508&lt;-'Control Panel'!$E$16),"CREDIT ","")&amp;IF(AND(NOT(ISNA(MATCH($C508,Mapping!$B$7:$B$36,0))),COUNTIFS(Budget!$B$4:$B$107,$B508,Budget!$C$4:$C$107,$D508)=0),"NO BUDGET ",""))</f>
        <v/>
      </c>
      <c r="L508" s="83" t="str">
        <f aca="false">IF($K508="","OK",$K508)</f>
        <v>OK</v>
      </c>
      <c r="M508" s="47" t="str">
        <f aca="false">IF(EXACT($L508,$I508),"ok","CHECK")</f>
        <v>ok</v>
      </c>
    </row>
    <row r="509" customFormat="false" ht="12" hidden="false" customHeight="true" outlineLevel="0" collapsed="false">
      <c r="B509" s="50" t="s">
        <v>155</v>
      </c>
      <c r="C509" s="50" t="s">
        <v>580</v>
      </c>
      <c r="D509" s="79" t="s">
        <v>119</v>
      </c>
      <c r="E509" s="80" t="n">
        <v>46198</v>
      </c>
      <c r="F509" s="50" t="s">
        <v>867</v>
      </c>
      <c r="G509" s="81" t="s">
        <v>868</v>
      </c>
      <c r="H509" s="82" t="n">
        <v>1665.25</v>
      </c>
      <c r="I509" s="37" t="s">
        <v>226</v>
      </c>
      <c r="J509" s="37" t="s">
        <v>77</v>
      </c>
      <c r="K509" s="37" t="str">
        <f aca="false">TRIM(IF($B509="UNASSIGNED","NO COST CENTRE ","")&amp;IF(ISNA(MATCH($C509,Mapping!$B$7:$B$36,0)),"UNMAPPED ","")&amp;IF(COUNTIFS($C$4:$C509,$C509,$F$4:$F509,$F509,$H$4:$H509,$H509)&gt;1,"DUPLICATE ","")&amp;IF(AND(NOT(ISNA(MATCH($C509,Mapping!$B$7:$B$36,0))),$H509&lt;-'Control Panel'!$E$16),"CREDIT ","")&amp;IF(AND(NOT(ISNA(MATCH($C509,Mapping!$B$7:$B$36,0))),COUNTIFS(Budget!$B$4:$B$107,$B509,Budget!$C$4:$C$107,$D509)=0),"NO BUDGET ",""))</f>
        <v/>
      </c>
      <c r="L509" s="83" t="str">
        <f aca="false">IF($K509="","OK",$K509)</f>
        <v>OK</v>
      </c>
      <c r="M509" s="47" t="str">
        <f aca="false">IF(EXACT($L509,$I509),"ok","CHECK")</f>
        <v>ok</v>
      </c>
    </row>
    <row r="510" customFormat="false" ht="12" hidden="false" customHeight="true" outlineLevel="0" collapsed="false">
      <c r="B510" s="50" t="s">
        <v>155</v>
      </c>
      <c r="C510" s="50" t="s">
        <v>765</v>
      </c>
      <c r="D510" s="79" t="s">
        <v>119</v>
      </c>
      <c r="E510" s="80" t="n">
        <v>46198</v>
      </c>
      <c r="F510" s="50" t="s">
        <v>869</v>
      </c>
      <c r="G510" s="81" t="s">
        <v>868</v>
      </c>
      <c r="H510" s="82" t="n">
        <v>1960.72</v>
      </c>
      <c r="I510" s="37" t="s">
        <v>226</v>
      </c>
      <c r="J510" s="37" t="s">
        <v>77</v>
      </c>
      <c r="K510" s="37" t="str">
        <f aca="false">TRIM(IF($B510="UNASSIGNED","NO COST CENTRE ","")&amp;IF(ISNA(MATCH($C510,Mapping!$B$7:$B$36,0)),"UNMAPPED ","")&amp;IF(COUNTIFS($C$4:$C510,$C510,$F$4:$F510,$F510,$H$4:$H510,$H510)&gt;1,"DUPLICATE ","")&amp;IF(AND(NOT(ISNA(MATCH($C510,Mapping!$B$7:$B$36,0))),$H510&lt;-'Control Panel'!$E$16),"CREDIT ","")&amp;IF(AND(NOT(ISNA(MATCH($C510,Mapping!$B$7:$B$36,0))),COUNTIFS(Budget!$B$4:$B$107,$B510,Budget!$C$4:$C$107,$D510)=0),"NO BUDGET ",""))</f>
        <v/>
      </c>
      <c r="L510" s="83" t="str">
        <f aca="false">IF($K510="","OK",$K510)</f>
        <v>OK</v>
      </c>
      <c r="M510" s="47" t="str">
        <f aca="false">IF(EXACT($L510,$I510),"ok","CHECK")</f>
        <v>ok</v>
      </c>
    </row>
    <row r="511" customFormat="false" ht="12" hidden="false" customHeight="true" outlineLevel="0" collapsed="false">
      <c r="B511" s="50" t="s">
        <v>155</v>
      </c>
      <c r="C511" s="50" t="s">
        <v>765</v>
      </c>
      <c r="D511" s="79" t="s">
        <v>119</v>
      </c>
      <c r="E511" s="80" t="n">
        <v>46199</v>
      </c>
      <c r="F511" s="50" t="s">
        <v>870</v>
      </c>
      <c r="G511" s="81" t="s">
        <v>812</v>
      </c>
      <c r="H511" s="82" t="n">
        <v>1009.54</v>
      </c>
      <c r="I511" s="37" t="s">
        <v>226</v>
      </c>
      <c r="J511" s="37" t="s">
        <v>77</v>
      </c>
      <c r="K511" s="37" t="str">
        <f aca="false">TRIM(IF($B511="UNASSIGNED","NO COST CENTRE ","")&amp;IF(ISNA(MATCH($C511,Mapping!$B$7:$B$36,0)),"UNMAPPED ","")&amp;IF(COUNTIFS($C$4:$C511,$C511,$F$4:$F511,$F511,$H$4:$H511,$H511)&gt;1,"DUPLICATE ","")&amp;IF(AND(NOT(ISNA(MATCH($C511,Mapping!$B$7:$B$36,0))),$H511&lt;-'Control Panel'!$E$16),"CREDIT ","")&amp;IF(AND(NOT(ISNA(MATCH($C511,Mapping!$B$7:$B$36,0))),COUNTIFS(Budget!$B$4:$B$107,$B511,Budget!$C$4:$C$107,$D511)=0),"NO BUDGET ",""))</f>
        <v/>
      </c>
      <c r="L511" s="83" t="str">
        <f aca="false">IF($K511="","OK",$K511)</f>
        <v>OK</v>
      </c>
      <c r="M511" s="47" t="str">
        <f aca="false">IF(EXACT($L511,$I511),"ok","CHECK")</f>
        <v>ok</v>
      </c>
    </row>
    <row r="512" customFormat="false" ht="12" hidden="false" customHeight="true" outlineLevel="0" collapsed="false">
      <c r="B512" s="50" t="s">
        <v>155</v>
      </c>
      <c r="C512" s="50" t="s">
        <v>765</v>
      </c>
      <c r="D512" s="79" t="s">
        <v>119</v>
      </c>
      <c r="E512" s="80" t="n">
        <v>46199</v>
      </c>
      <c r="F512" s="50" t="s">
        <v>871</v>
      </c>
      <c r="G512" s="81" t="s">
        <v>872</v>
      </c>
      <c r="H512" s="82" t="n">
        <v>1212.5</v>
      </c>
      <c r="I512" s="37" t="s">
        <v>226</v>
      </c>
      <c r="J512" s="37" t="s">
        <v>77</v>
      </c>
      <c r="K512" s="37" t="str">
        <f aca="false">TRIM(IF($B512="UNASSIGNED","NO COST CENTRE ","")&amp;IF(ISNA(MATCH($C512,Mapping!$B$7:$B$36,0)),"UNMAPPED ","")&amp;IF(COUNTIFS($C$4:$C512,$C512,$F$4:$F512,$F512,$H$4:$H512,$H512)&gt;1,"DUPLICATE ","")&amp;IF(AND(NOT(ISNA(MATCH($C512,Mapping!$B$7:$B$36,0))),$H512&lt;-'Control Panel'!$E$16),"CREDIT ","")&amp;IF(AND(NOT(ISNA(MATCH($C512,Mapping!$B$7:$B$36,0))),COUNTIFS(Budget!$B$4:$B$107,$B512,Budget!$C$4:$C$107,$D512)=0),"NO BUDGET ",""))</f>
        <v/>
      </c>
      <c r="L512" s="83" t="str">
        <f aca="false">IF($K512="","OK",$K512)</f>
        <v>OK</v>
      </c>
      <c r="M512" s="47" t="str">
        <f aca="false">IF(EXACT($L512,$I512),"ok","CHECK")</f>
        <v>ok</v>
      </c>
    </row>
    <row r="513" customFormat="false" ht="12" hidden="false" customHeight="true" outlineLevel="0" collapsed="false">
      <c r="B513" s="50" t="s">
        <v>155</v>
      </c>
      <c r="C513" s="50" t="s">
        <v>244</v>
      </c>
      <c r="D513" s="79" t="s">
        <v>111</v>
      </c>
      <c r="E513" s="80" t="n">
        <v>46199</v>
      </c>
      <c r="F513" s="50" t="s">
        <v>873</v>
      </c>
      <c r="G513" s="81" t="s">
        <v>342</v>
      </c>
      <c r="H513" s="82" t="n">
        <v>1905.63</v>
      </c>
      <c r="I513" s="37" t="s">
        <v>226</v>
      </c>
      <c r="J513" s="37" t="s">
        <v>77</v>
      </c>
      <c r="K513" s="37" t="str">
        <f aca="false">TRIM(IF($B513="UNASSIGNED","NO COST CENTRE ","")&amp;IF(ISNA(MATCH($C513,Mapping!$B$7:$B$36,0)),"UNMAPPED ","")&amp;IF(COUNTIFS($C$4:$C513,$C513,$F$4:$F513,$F513,$H$4:$H513,$H513)&gt;1,"DUPLICATE ","")&amp;IF(AND(NOT(ISNA(MATCH($C513,Mapping!$B$7:$B$36,0))),$H513&lt;-'Control Panel'!$E$16),"CREDIT ","")&amp;IF(AND(NOT(ISNA(MATCH($C513,Mapping!$B$7:$B$36,0))),COUNTIFS(Budget!$B$4:$B$107,$B513,Budget!$C$4:$C$107,$D513)=0),"NO BUDGET ",""))</f>
        <v/>
      </c>
      <c r="L513" s="83" t="str">
        <f aca="false">IF($K513="","OK",$K513)</f>
        <v>OK</v>
      </c>
      <c r="M513" s="47" t="str">
        <f aca="false">IF(EXACT($L513,$I513),"ok","CHECK")</f>
        <v>ok</v>
      </c>
    </row>
    <row r="514" customFormat="false" ht="12" hidden="false" customHeight="true" outlineLevel="0" collapsed="false">
      <c r="B514" s="50" t="s">
        <v>155</v>
      </c>
      <c r="C514" s="50" t="s">
        <v>580</v>
      </c>
      <c r="D514" s="79" t="s">
        <v>119</v>
      </c>
      <c r="E514" s="80" t="n">
        <v>46202</v>
      </c>
      <c r="F514" s="50" t="s">
        <v>874</v>
      </c>
      <c r="G514" s="81" t="s">
        <v>858</v>
      </c>
      <c r="H514" s="82" t="n">
        <v>907.43</v>
      </c>
      <c r="I514" s="37" t="s">
        <v>226</v>
      </c>
      <c r="J514" s="37" t="s">
        <v>77</v>
      </c>
      <c r="K514" s="37" t="str">
        <f aca="false">TRIM(IF($B514="UNASSIGNED","NO COST CENTRE ","")&amp;IF(ISNA(MATCH($C514,Mapping!$B$7:$B$36,0)),"UNMAPPED ","")&amp;IF(COUNTIFS($C$4:$C514,$C514,$F$4:$F514,$F514,$H$4:$H514,$H514)&gt;1,"DUPLICATE ","")&amp;IF(AND(NOT(ISNA(MATCH($C514,Mapping!$B$7:$B$36,0))),$H514&lt;-'Control Panel'!$E$16),"CREDIT ","")&amp;IF(AND(NOT(ISNA(MATCH($C514,Mapping!$B$7:$B$36,0))),COUNTIFS(Budget!$B$4:$B$107,$B514,Budget!$C$4:$C$107,$D514)=0),"NO BUDGET ",""))</f>
        <v/>
      </c>
      <c r="L514" s="83" t="str">
        <f aca="false">IF($K514="","OK",$K514)</f>
        <v>OK</v>
      </c>
      <c r="M514" s="47" t="str">
        <f aca="false">IF(EXACT($L514,$I514),"ok","CHECK")</f>
        <v>ok</v>
      </c>
    </row>
    <row r="515" customFormat="false" ht="12" hidden="false" customHeight="true" outlineLevel="0" collapsed="false">
      <c r="B515" s="50" t="s">
        <v>155</v>
      </c>
      <c r="C515" s="50" t="s">
        <v>839</v>
      </c>
      <c r="D515" s="79" t="s">
        <v>121</v>
      </c>
      <c r="E515" s="80" t="n">
        <v>46203</v>
      </c>
      <c r="F515" s="50" t="s">
        <v>875</v>
      </c>
      <c r="G515" s="81" t="s">
        <v>841</v>
      </c>
      <c r="H515" s="82" t="n">
        <v>7072.59</v>
      </c>
      <c r="I515" s="37" t="s">
        <v>226</v>
      </c>
      <c r="J515" s="37" t="s">
        <v>77</v>
      </c>
      <c r="K515" s="37" t="str">
        <f aca="false">TRIM(IF($B515="UNASSIGNED","NO COST CENTRE ","")&amp;IF(ISNA(MATCH($C515,Mapping!$B$7:$B$36,0)),"UNMAPPED ","")&amp;IF(COUNTIFS($C$4:$C515,$C515,$F$4:$F515,$F515,$H$4:$H515,$H515)&gt;1,"DUPLICATE ","")&amp;IF(AND(NOT(ISNA(MATCH($C515,Mapping!$B$7:$B$36,0))),$H515&lt;-'Control Panel'!$E$16),"CREDIT ","")&amp;IF(AND(NOT(ISNA(MATCH($C515,Mapping!$B$7:$B$36,0))),COUNTIFS(Budget!$B$4:$B$107,$B515,Budget!$C$4:$C$107,$D515)=0),"NO BUDGET ",""))</f>
        <v/>
      </c>
      <c r="L515" s="83" t="str">
        <f aca="false">IF($K515="","OK",$K515)</f>
        <v>OK</v>
      </c>
      <c r="M515" s="47" t="str">
        <f aca="false">IF(EXACT($L515,$I515),"ok","CHECK")</f>
        <v>ok</v>
      </c>
    </row>
    <row r="516" customFormat="false" ht="12" hidden="false" customHeight="true" outlineLevel="0" collapsed="false">
      <c r="B516" s="50" t="s">
        <v>155</v>
      </c>
      <c r="C516" s="50" t="s">
        <v>259</v>
      </c>
      <c r="D516" s="79" t="s">
        <v>111</v>
      </c>
      <c r="E516" s="80" t="n">
        <v>46203</v>
      </c>
      <c r="F516" s="50" t="s">
        <v>876</v>
      </c>
      <c r="G516" s="81" t="s">
        <v>246</v>
      </c>
      <c r="H516" s="82" t="n">
        <v>997.4</v>
      </c>
      <c r="I516" s="37" t="s">
        <v>226</v>
      </c>
      <c r="J516" s="37" t="s">
        <v>77</v>
      </c>
      <c r="K516" s="37" t="str">
        <f aca="false">TRIM(IF($B516="UNASSIGNED","NO COST CENTRE ","")&amp;IF(ISNA(MATCH($C516,Mapping!$B$7:$B$36,0)),"UNMAPPED ","")&amp;IF(COUNTIFS($C$4:$C516,$C516,$F$4:$F516,$F516,$H$4:$H516,$H516)&gt;1,"DUPLICATE ","")&amp;IF(AND(NOT(ISNA(MATCH($C516,Mapping!$B$7:$B$36,0))),$H516&lt;-'Control Panel'!$E$16),"CREDIT ","")&amp;IF(AND(NOT(ISNA(MATCH($C516,Mapping!$B$7:$B$36,0))),COUNTIFS(Budget!$B$4:$B$107,$B516,Budget!$C$4:$C$107,$D516)=0),"NO BUDGET ",""))</f>
        <v/>
      </c>
      <c r="L516" s="83" t="str">
        <f aca="false">IF($K516="","OK",$K516)</f>
        <v>OK</v>
      </c>
      <c r="M516" s="47" t="str">
        <f aca="false">IF(EXACT($L516,$I516),"ok","CHECK")</f>
        <v>ok</v>
      </c>
    </row>
    <row r="517" customFormat="false" ht="12" hidden="false" customHeight="true" outlineLevel="0" collapsed="false">
      <c r="B517" s="50" t="s">
        <v>155</v>
      </c>
      <c r="C517" s="50" t="s">
        <v>244</v>
      </c>
      <c r="D517" s="79" t="s">
        <v>111</v>
      </c>
      <c r="E517" s="80" t="n">
        <v>46203</v>
      </c>
      <c r="F517" s="50" t="s">
        <v>877</v>
      </c>
      <c r="G517" s="81" t="s">
        <v>318</v>
      </c>
      <c r="H517" s="82" t="n">
        <v>1333.12</v>
      </c>
      <c r="I517" s="37" t="s">
        <v>226</v>
      </c>
      <c r="J517" s="37" t="s">
        <v>77</v>
      </c>
      <c r="K517" s="37" t="str">
        <f aca="false">TRIM(IF($B517="UNASSIGNED","NO COST CENTRE ","")&amp;IF(ISNA(MATCH($C517,Mapping!$B$7:$B$36,0)),"UNMAPPED ","")&amp;IF(COUNTIFS($C$4:$C517,$C517,$F$4:$F517,$F517,$H$4:$H517,$H517)&gt;1,"DUPLICATE ","")&amp;IF(AND(NOT(ISNA(MATCH($C517,Mapping!$B$7:$B$36,0))),$H517&lt;-'Control Panel'!$E$16),"CREDIT ","")&amp;IF(AND(NOT(ISNA(MATCH($C517,Mapping!$B$7:$B$36,0))),COUNTIFS(Budget!$B$4:$B$107,$B517,Budget!$C$4:$C$107,$D517)=0),"NO BUDGET ",""))</f>
        <v/>
      </c>
      <c r="L517" s="83" t="str">
        <f aca="false">IF($K517="","OK",$K517)</f>
        <v>OK</v>
      </c>
      <c r="M517" s="47" t="str">
        <f aca="false">IF(EXACT($L517,$I517),"ok","CHECK")</f>
        <v>ok</v>
      </c>
    </row>
    <row r="518" customFormat="false" ht="12" hidden="false" customHeight="true" outlineLevel="0" collapsed="false">
      <c r="B518" s="50" t="s">
        <v>156</v>
      </c>
      <c r="C518" s="50" t="s">
        <v>259</v>
      </c>
      <c r="D518" s="79" t="s">
        <v>111</v>
      </c>
      <c r="E518" s="80" t="n">
        <v>46174</v>
      </c>
      <c r="F518" s="50" t="s">
        <v>878</v>
      </c>
      <c r="G518" s="81" t="s">
        <v>243</v>
      </c>
      <c r="H518" s="82" t="n">
        <v>1910</v>
      </c>
      <c r="I518" s="65" t="s">
        <v>879</v>
      </c>
      <c r="J518" s="37" t="s">
        <v>77</v>
      </c>
      <c r="K518" s="37" t="str">
        <f aca="false">TRIM(IF($B518="UNASSIGNED","NO COST CENTRE ","")&amp;IF(ISNA(MATCH($C518,Mapping!$B$7:$B$36,0)),"UNMAPPED ","")&amp;IF(COUNTIFS($C$4:$C518,$C518,$F$4:$F518,$F518,$H$4:$H518,$H518)&gt;1,"DUPLICATE ","")&amp;IF(AND(NOT(ISNA(MATCH($C518,Mapping!$B$7:$B$36,0))),$H518&lt;-'Control Panel'!$E$16),"CREDIT ","")&amp;IF(AND(NOT(ISNA(MATCH($C518,Mapping!$B$7:$B$36,0))),COUNTIFS(Budget!$B$4:$B$107,$B518,Budget!$C$4:$C$107,$D518)=0),"NO BUDGET ",""))</f>
        <v>NO BUDGET</v>
      </c>
      <c r="L518" s="83" t="str">
        <f aca="false">IF($K518="","OK",$K518)</f>
        <v>NO BUDGET</v>
      </c>
      <c r="M518" s="47" t="str">
        <f aca="false">IF(EXACT($L518,$I518),"ok","CHECK")</f>
        <v>ok</v>
      </c>
    </row>
    <row r="519" customFormat="false" ht="12" hidden="false" customHeight="true" outlineLevel="0" collapsed="false">
      <c r="B519" s="50" t="s">
        <v>156</v>
      </c>
      <c r="C519" s="50" t="s">
        <v>289</v>
      </c>
      <c r="D519" s="79" t="s">
        <v>111</v>
      </c>
      <c r="E519" s="80" t="n">
        <v>46177</v>
      </c>
      <c r="F519" s="50" t="s">
        <v>880</v>
      </c>
      <c r="G519" s="81" t="s">
        <v>288</v>
      </c>
      <c r="H519" s="82" t="n">
        <v>1340.85</v>
      </c>
      <c r="I519" s="65" t="s">
        <v>879</v>
      </c>
      <c r="J519" s="37" t="s">
        <v>77</v>
      </c>
      <c r="K519" s="37" t="str">
        <f aca="false">TRIM(IF($B519="UNASSIGNED","NO COST CENTRE ","")&amp;IF(ISNA(MATCH($C519,Mapping!$B$7:$B$36,0)),"UNMAPPED ","")&amp;IF(COUNTIFS($C$4:$C519,$C519,$F$4:$F519,$F519,$H$4:$H519,$H519)&gt;1,"DUPLICATE ","")&amp;IF(AND(NOT(ISNA(MATCH($C519,Mapping!$B$7:$B$36,0))),$H519&lt;-'Control Panel'!$E$16),"CREDIT ","")&amp;IF(AND(NOT(ISNA(MATCH($C519,Mapping!$B$7:$B$36,0))),COUNTIFS(Budget!$B$4:$B$107,$B519,Budget!$C$4:$C$107,$D519)=0),"NO BUDGET ",""))</f>
        <v>NO BUDGET</v>
      </c>
      <c r="L519" s="83" t="str">
        <f aca="false">IF($K519="","OK",$K519)</f>
        <v>NO BUDGET</v>
      </c>
      <c r="M519" s="47" t="str">
        <f aca="false">IF(EXACT($L519,$I519),"ok","CHECK")</f>
        <v>ok</v>
      </c>
    </row>
    <row r="520" customFormat="false" ht="12" hidden="false" customHeight="true" outlineLevel="0" collapsed="false">
      <c r="B520" s="50" t="s">
        <v>156</v>
      </c>
      <c r="C520" s="50" t="s">
        <v>289</v>
      </c>
      <c r="D520" s="79" t="s">
        <v>111</v>
      </c>
      <c r="E520" s="80" t="n">
        <v>46178</v>
      </c>
      <c r="F520" s="50" t="s">
        <v>881</v>
      </c>
      <c r="G520" s="81" t="s">
        <v>243</v>
      </c>
      <c r="H520" s="82" t="n">
        <v>1389.18</v>
      </c>
      <c r="I520" s="65" t="s">
        <v>879</v>
      </c>
      <c r="J520" s="37" t="s">
        <v>77</v>
      </c>
      <c r="K520" s="37" t="str">
        <f aca="false">TRIM(IF($B520="UNASSIGNED","NO COST CENTRE ","")&amp;IF(ISNA(MATCH($C520,Mapping!$B$7:$B$36,0)),"UNMAPPED ","")&amp;IF(COUNTIFS($C$4:$C520,$C520,$F$4:$F520,$F520,$H$4:$H520,$H520)&gt;1,"DUPLICATE ","")&amp;IF(AND(NOT(ISNA(MATCH($C520,Mapping!$B$7:$B$36,0))),$H520&lt;-'Control Panel'!$E$16),"CREDIT ","")&amp;IF(AND(NOT(ISNA(MATCH($C520,Mapping!$B$7:$B$36,0))),COUNTIFS(Budget!$B$4:$B$107,$B520,Budget!$C$4:$C$107,$D520)=0),"NO BUDGET ",""))</f>
        <v>NO BUDGET</v>
      </c>
      <c r="L520" s="83" t="str">
        <f aca="false">IF($K520="","OK",$K520)</f>
        <v>NO BUDGET</v>
      </c>
      <c r="M520" s="47" t="str">
        <f aca="false">IF(EXACT($L520,$I520),"ok","CHECK")</f>
        <v>ok</v>
      </c>
    </row>
    <row r="521" customFormat="false" ht="12" hidden="false" customHeight="true" outlineLevel="0" collapsed="false">
      <c r="B521" s="50" t="s">
        <v>156</v>
      </c>
      <c r="C521" s="50" t="s">
        <v>259</v>
      </c>
      <c r="D521" s="79" t="s">
        <v>111</v>
      </c>
      <c r="E521" s="80" t="n">
        <v>46178</v>
      </c>
      <c r="F521" s="50" t="s">
        <v>882</v>
      </c>
      <c r="G521" s="81" t="s">
        <v>261</v>
      </c>
      <c r="H521" s="82" t="n">
        <v>875.54</v>
      </c>
      <c r="I521" s="65" t="s">
        <v>879</v>
      </c>
      <c r="J521" s="37" t="s">
        <v>77</v>
      </c>
      <c r="K521" s="37" t="str">
        <f aca="false">TRIM(IF($B521="UNASSIGNED","NO COST CENTRE ","")&amp;IF(ISNA(MATCH($C521,Mapping!$B$7:$B$36,0)),"UNMAPPED ","")&amp;IF(COUNTIFS($C$4:$C521,$C521,$F$4:$F521,$F521,$H$4:$H521,$H521)&gt;1,"DUPLICATE ","")&amp;IF(AND(NOT(ISNA(MATCH($C521,Mapping!$B$7:$B$36,0))),$H521&lt;-'Control Panel'!$E$16),"CREDIT ","")&amp;IF(AND(NOT(ISNA(MATCH($C521,Mapping!$B$7:$B$36,0))),COUNTIFS(Budget!$B$4:$B$107,$B521,Budget!$C$4:$C$107,$D521)=0),"NO BUDGET ",""))</f>
        <v>NO BUDGET</v>
      </c>
      <c r="L521" s="83" t="str">
        <f aca="false">IF($K521="","OK",$K521)</f>
        <v>NO BUDGET</v>
      </c>
      <c r="M521" s="47" t="str">
        <f aca="false">IF(EXACT($L521,$I521),"ok","CHECK")</f>
        <v>ok</v>
      </c>
    </row>
    <row r="522" customFormat="false" ht="12" hidden="false" customHeight="true" outlineLevel="0" collapsed="false">
      <c r="B522" s="50" t="s">
        <v>156</v>
      </c>
      <c r="C522" s="50" t="s">
        <v>255</v>
      </c>
      <c r="D522" s="79" t="s">
        <v>120</v>
      </c>
      <c r="E522" s="80" t="n">
        <v>46180</v>
      </c>
      <c r="F522" s="50" t="s">
        <v>883</v>
      </c>
      <c r="G522" s="81" t="s">
        <v>364</v>
      </c>
      <c r="H522" s="82" t="n">
        <v>590.68</v>
      </c>
      <c r="I522" s="65" t="s">
        <v>879</v>
      </c>
      <c r="J522" s="37" t="s">
        <v>77</v>
      </c>
      <c r="K522" s="37" t="str">
        <f aca="false">TRIM(IF($B522="UNASSIGNED","NO COST CENTRE ","")&amp;IF(ISNA(MATCH($C522,Mapping!$B$7:$B$36,0)),"UNMAPPED ","")&amp;IF(COUNTIFS($C$4:$C522,$C522,$F$4:$F522,$F522,$H$4:$H522,$H522)&gt;1,"DUPLICATE ","")&amp;IF(AND(NOT(ISNA(MATCH($C522,Mapping!$B$7:$B$36,0))),$H522&lt;-'Control Panel'!$E$16),"CREDIT ","")&amp;IF(AND(NOT(ISNA(MATCH($C522,Mapping!$B$7:$B$36,0))),COUNTIFS(Budget!$B$4:$B$107,$B522,Budget!$C$4:$C$107,$D522)=0),"NO BUDGET ",""))</f>
        <v>NO BUDGET</v>
      </c>
      <c r="L522" s="83" t="str">
        <f aca="false">IF($K522="","OK",$K522)</f>
        <v>NO BUDGET</v>
      </c>
      <c r="M522" s="47" t="str">
        <f aca="false">IF(EXACT($L522,$I522),"ok","CHECK")</f>
        <v>ok</v>
      </c>
    </row>
    <row r="523" customFormat="false" ht="12" hidden="false" customHeight="true" outlineLevel="0" collapsed="false">
      <c r="B523" s="50" t="s">
        <v>156</v>
      </c>
      <c r="C523" s="50" t="s">
        <v>289</v>
      </c>
      <c r="D523" s="79" t="s">
        <v>111</v>
      </c>
      <c r="E523" s="80" t="n">
        <v>46180</v>
      </c>
      <c r="F523" s="50" t="s">
        <v>884</v>
      </c>
      <c r="G523" s="81" t="s">
        <v>243</v>
      </c>
      <c r="H523" s="82" t="n">
        <v>1659.99</v>
      </c>
      <c r="I523" s="65" t="s">
        <v>879</v>
      </c>
      <c r="J523" s="37" t="s">
        <v>77</v>
      </c>
      <c r="K523" s="37" t="str">
        <f aca="false">TRIM(IF($B523="UNASSIGNED","NO COST CENTRE ","")&amp;IF(ISNA(MATCH($C523,Mapping!$B$7:$B$36,0)),"UNMAPPED ","")&amp;IF(COUNTIFS($C$4:$C523,$C523,$F$4:$F523,$F523,$H$4:$H523,$H523)&gt;1,"DUPLICATE ","")&amp;IF(AND(NOT(ISNA(MATCH($C523,Mapping!$B$7:$B$36,0))),$H523&lt;-'Control Panel'!$E$16),"CREDIT ","")&amp;IF(AND(NOT(ISNA(MATCH($C523,Mapping!$B$7:$B$36,0))),COUNTIFS(Budget!$B$4:$B$107,$B523,Budget!$C$4:$C$107,$D523)=0),"NO BUDGET ",""))</f>
        <v>NO BUDGET</v>
      </c>
      <c r="L523" s="83" t="str">
        <f aca="false">IF($K523="","OK",$K523)</f>
        <v>NO BUDGET</v>
      </c>
      <c r="M523" s="47" t="str">
        <f aca="false">IF(EXACT($L523,$I523),"ok","CHECK")</f>
        <v>ok</v>
      </c>
    </row>
    <row r="524" customFormat="false" ht="12" hidden="false" customHeight="true" outlineLevel="0" collapsed="false">
      <c r="B524" s="50" t="s">
        <v>156</v>
      </c>
      <c r="C524" s="50" t="s">
        <v>227</v>
      </c>
      <c r="D524" s="79" t="s">
        <v>112</v>
      </c>
      <c r="E524" s="80" t="n">
        <v>46181</v>
      </c>
      <c r="F524" s="50" t="s">
        <v>885</v>
      </c>
      <c r="G524" s="81" t="s">
        <v>499</v>
      </c>
      <c r="H524" s="82" t="n">
        <v>1209.43</v>
      </c>
      <c r="I524" s="65" t="s">
        <v>879</v>
      </c>
      <c r="J524" s="37" t="s">
        <v>77</v>
      </c>
      <c r="K524" s="37" t="str">
        <f aca="false">TRIM(IF($B524="UNASSIGNED","NO COST CENTRE ","")&amp;IF(ISNA(MATCH($C524,Mapping!$B$7:$B$36,0)),"UNMAPPED ","")&amp;IF(COUNTIFS($C$4:$C524,$C524,$F$4:$F524,$F524,$H$4:$H524,$H524)&gt;1,"DUPLICATE ","")&amp;IF(AND(NOT(ISNA(MATCH($C524,Mapping!$B$7:$B$36,0))),$H524&lt;-'Control Panel'!$E$16),"CREDIT ","")&amp;IF(AND(NOT(ISNA(MATCH($C524,Mapping!$B$7:$B$36,0))),COUNTIFS(Budget!$B$4:$B$107,$B524,Budget!$C$4:$C$107,$D524)=0),"NO BUDGET ",""))</f>
        <v>NO BUDGET</v>
      </c>
      <c r="L524" s="83" t="str">
        <f aca="false">IF($K524="","OK",$K524)</f>
        <v>NO BUDGET</v>
      </c>
      <c r="M524" s="47" t="str">
        <f aca="false">IF(EXACT($L524,$I524),"ok","CHECK")</f>
        <v>ok</v>
      </c>
    </row>
    <row r="525" customFormat="false" ht="12" hidden="false" customHeight="true" outlineLevel="0" collapsed="false">
      <c r="B525" s="50" t="s">
        <v>156</v>
      </c>
      <c r="C525" s="50" t="s">
        <v>282</v>
      </c>
      <c r="D525" s="79" t="s">
        <v>112</v>
      </c>
      <c r="E525" s="80" t="n">
        <v>46181</v>
      </c>
      <c r="F525" s="50" t="s">
        <v>886</v>
      </c>
      <c r="G525" s="81" t="s">
        <v>229</v>
      </c>
      <c r="H525" s="82" t="n">
        <v>2647.24</v>
      </c>
      <c r="I525" s="65" t="s">
        <v>879</v>
      </c>
      <c r="J525" s="37" t="s">
        <v>77</v>
      </c>
      <c r="K525" s="37" t="str">
        <f aca="false">TRIM(IF($B525="UNASSIGNED","NO COST CENTRE ","")&amp;IF(ISNA(MATCH($C525,Mapping!$B$7:$B$36,0)),"UNMAPPED ","")&amp;IF(COUNTIFS($C$4:$C525,$C525,$F$4:$F525,$F525,$H$4:$H525,$H525)&gt;1,"DUPLICATE ","")&amp;IF(AND(NOT(ISNA(MATCH($C525,Mapping!$B$7:$B$36,0))),$H525&lt;-'Control Panel'!$E$16),"CREDIT ","")&amp;IF(AND(NOT(ISNA(MATCH($C525,Mapping!$B$7:$B$36,0))),COUNTIFS(Budget!$B$4:$B$107,$B525,Budget!$C$4:$C$107,$D525)=0),"NO BUDGET ",""))</f>
        <v>NO BUDGET</v>
      </c>
      <c r="L525" s="83" t="str">
        <f aca="false">IF($K525="","OK",$K525)</f>
        <v>NO BUDGET</v>
      </c>
      <c r="M525" s="47" t="str">
        <f aca="false">IF(EXACT($L525,$I525),"ok","CHECK")</f>
        <v>ok</v>
      </c>
    </row>
    <row r="526" customFormat="false" ht="12" hidden="false" customHeight="true" outlineLevel="0" collapsed="false">
      <c r="B526" s="50" t="s">
        <v>156</v>
      </c>
      <c r="C526" s="50" t="s">
        <v>765</v>
      </c>
      <c r="D526" s="79" t="s">
        <v>119</v>
      </c>
      <c r="E526" s="80" t="n">
        <v>46182</v>
      </c>
      <c r="F526" s="50" t="s">
        <v>887</v>
      </c>
      <c r="G526" s="81" t="s">
        <v>835</v>
      </c>
      <c r="H526" s="82" t="n">
        <v>825.44</v>
      </c>
      <c r="I526" s="65" t="s">
        <v>879</v>
      </c>
      <c r="J526" s="37" t="s">
        <v>77</v>
      </c>
      <c r="K526" s="37" t="str">
        <f aca="false">TRIM(IF($B526="UNASSIGNED","NO COST CENTRE ","")&amp;IF(ISNA(MATCH($C526,Mapping!$B$7:$B$36,0)),"UNMAPPED ","")&amp;IF(COUNTIFS($C$4:$C526,$C526,$F$4:$F526,$F526,$H$4:$H526,$H526)&gt;1,"DUPLICATE ","")&amp;IF(AND(NOT(ISNA(MATCH($C526,Mapping!$B$7:$B$36,0))),$H526&lt;-'Control Panel'!$E$16),"CREDIT ","")&amp;IF(AND(NOT(ISNA(MATCH($C526,Mapping!$B$7:$B$36,0))),COUNTIFS(Budget!$B$4:$B$107,$B526,Budget!$C$4:$C$107,$D526)=0),"NO BUDGET ",""))</f>
        <v>NO BUDGET</v>
      </c>
      <c r="L526" s="83" t="str">
        <f aca="false">IF($K526="","OK",$K526)</f>
        <v>NO BUDGET</v>
      </c>
      <c r="M526" s="47" t="str">
        <f aca="false">IF(EXACT($L526,$I526),"ok","CHECK")</f>
        <v>ok</v>
      </c>
    </row>
    <row r="527" customFormat="false" ht="12" hidden="false" customHeight="true" outlineLevel="0" collapsed="false">
      <c r="B527" s="50" t="s">
        <v>156</v>
      </c>
      <c r="C527" s="50" t="s">
        <v>273</v>
      </c>
      <c r="D527" s="79" t="s">
        <v>114</v>
      </c>
      <c r="E527" s="80" t="n">
        <v>46182</v>
      </c>
      <c r="F527" s="50" t="s">
        <v>888</v>
      </c>
      <c r="G527" s="81" t="s">
        <v>379</v>
      </c>
      <c r="H527" s="82" t="n">
        <v>979.19</v>
      </c>
      <c r="I527" s="65" t="s">
        <v>879</v>
      </c>
      <c r="J527" s="37" t="s">
        <v>77</v>
      </c>
      <c r="K527" s="37" t="str">
        <f aca="false">TRIM(IF($B527="UNASSIGNED","NO COST CENTRE ","")&amp;IF(ISNA(MATCH($C527,Mapping!$B$7:$B$36,0)),"UNMAPPED ","")&amp;IF(COUNTIFS($C$4:$C527,$C527,$F$4:$F527,$F527,$H$4:$H527,$H527)&gt;1,"DUPLICATE ","")&amp;IF(AND(NOT(ISNA(MATCH($C527,Mapping!$B$7:$B$36,0))),$H527&lt;-'Control Panel'!$E$16),"CREDIT ","")&amp;IF(AND(NOT(ISNA(MATCH($C527,Mapping!$B$7:$B$36,0))),COUNTIFS(Budget!$B$4:$B$107,$B527,Budget!$C$4:$C$107,$D527)=0),"NO BUDGET ",""))</f>
        <v>NO BUDGET</v>
      </c>
      <c r="L527" s="83" t="str">
        <f aca="false">IF($K527="","OK",$K527)</f>
        <v>NO BUDGET</v>
      </c>
      <c r="M527" s="47" t="str">
        <f aca="false">IF(EXACT($L527,$I527),"ok","CHECK")</f>
        <v>ok</v>
      </c>
    </row>
    <row r="528" customFormat="false" ht="12" hidden="false" customHeight="true" outlineLevel="0" collapsed="false">
      <c r="B528" s="50" t="s">
        <v>156</v>
      </c>
      <c r="C528" s="50" t="s">
        <v>273</v>
      </c>
      <c r="D528" s="79" t="s">
        <v>114</v>
      </c>
      <c r="E528" s="80" t="n">
        <v>46184</v>
      </c>
      <c r="F528" s="50" t="s">
        <v>889</v>
      </c>
      <c r="G528" s="81" t="s">
        <v>706</v>
      </c>
      <c r="H528" s="82" t="n">
        <v>1688.55</v>
      </c>
      <c r="I528" s="65" t="s">
        <v>879</v>
      </c>
      <c r="J528" s="37" t="s">
        <v>77</v>
      </c>
      <c r="K528" s="37" t="str">
        <f aca="false">TRIM(IF($B528="UNASSIGNED","NO COST CENTRE ","")&amp;IF(ISNA(MATCH($C528,Mapping!$B$7:$B$36,0)),"UNMAPPED ","")&amp;IF(COUNTIFS($C$4:$C528,$C528,$F$4:$F528,$F528,$H$4:$H528,$H528)&gt;1,"DUPLICATE ","")&amp;IF(AND(NOT(ISNA(MATCH($C528,Mapping!$B$7:$B$36,0))),$H528&lt;-'Control Panel'!$E$16),"CREDIT ","")&amp;IF(AND(NOT(ISNA(MATCH($C528,Mapping!$B$7:$B$36,0))),COUNTIFS(Budget!$B$4:$B$107,$B528,Budget!$C$4:$C$107,$D528)=0),"NO BUDGET ",""))</f>
        <v>NO BUDGET</v>
      </c>
      <c r="L528" s="83" t="str">
        <f aca="false">IF($K528="","OK",$K528)</f>
        <v>NO BUDGET</v>
      </c>
      <c r="M528" s="47" t="str">
        <f aca="false">IF(EXACT($L528,$I528),"ok","CHECK")</f>
        <v>ok</v>
      </c>
    </row>
    <row r="529" customFormat="false" ht="12" hidden="false" customHeight="true" outlineLevel="0" collapsed="false">
      <c r="B529" s="50" t="s">
        <v>156</v>
      </c>
      <c r="C529" s="50" t="s">
        <v>259</v>
      </c>
      <c r="D529" s="79" t="s">
        <v>111</v>
      </c>
      <c r="E529" s="80" t="n">
        <v>46186</v>
      </c>
      <c r="F529" s="50" t="s">
        <v>890</v>
      </c>
      <c r="G529" s="81" t="s">
        <v>288</v>
      </c>
      <c r="H529" s="82" t="n">
        <v>917.7</v>
      </c>
      <c r="I529" s="65" t="s">
        <v>879</v>
      </c>
      <c r="J529" s="37" t="s">
        <v>77</v>
      </c>
      <c r="K529" s="37" t="str">
        <f aca="false">TRIM(IF($B529="UNASSIGNED","NO COST CENTRE ","")&amp;IF(ISNA(MATCH($C529,Mapping!$B$7:$B$36,0)),"UNMAPPED ","")&amp;IF(COUNTIFS($C$4:$C529,$C529,$F$4:$F529,$F529,$H$4:$H529,$H529)&gt;1,"DUPLICATE ","")&amp;IF(AND(NOT(ISNA(MATCH($C529,Mapping!$B$7:$B$36,0))),$H529&lt;-'Control Panel'!$E$16),"CREDIT ","")&amp;IF(AND(NOT(ISNA(MATCH($C529,Mapping!$B$7:$B$36,0))),COUNTIFS(Budget!$B$4:$B$107,$B529,Budget!$C$4:$C$107,$D529)=0),"NO BUDGET ",""))</f>
        <v>NO BUDGET</v>
      </c>
      <c r="L529" s="83" t="str">
        <f aca="false">IF($K529="","OK",$K529)</f>
        <v>NO BUDGET</v>
      </c>
      <c r="M529" s="47" t="str">
        <f aca="false">IF(EXACT($L529,$I529),"ok","CHECK")</f>
        <v>ok</v>
      </c>
    </row>
    <row r="530" customFormat="false" ht="12" hidden="false" customHeight="true" outlineLevel="0" collapsed="false">
      <c r="B530" s="50" t="s">
        <v>156</v>
      </c>
      <c r="C530" s="50" t="s">
        <v>524</v>
      </c>
      <c r="D530" s="79" t="s">
        <v>118</v>
      </c>
      <c r="E530" s="80" t="n">
        <v>46193</v>
      </c>
      <c r="F530" s="50" t="s">
        <v>891</v>
      </c>
      <c r="G530" s="81" t="s">
        <v>866</v>
      </c>
      <c r="H530" s="82" t="n">
        <v>907.44</v>
      </c>
      <c r="I530" s="65" t="s">
        <v>879</v>
      </c>
      <c r="J530" s="37" t="s">
        <v>77</v>
      </c>
      <c r="K530" s="37" t="str">
        <f aca="false">TRIM(IF($B530="UNASSIGNED","NO COST CENTRE ","")&amp;IF(ISNA(MATCH($C530,Mapping!$B$7:$B$36,0)),"UNMAPPED ","")&amp;IF(COUNTIFS($C$4:$C530,$C530,$F$4:$F530,$F530,$H$4:$H530,$H530)&gt;1,"DUPLICATE ","")&amp;IF(AND(NOT(ISNA(MATCH($C530,Mapping!$B$7:$B$36,0))),$H530&lt;-'Control Panel'!$E$16),"CREDIT ","")&amp;IF(AND(NOT(ISNA(MATCH($C530,Mapping!$B$7:$B$36,0))),COUNTIFS(Budget!$B$4:$B$107,$B530,Budget!$C$4:$C$107,$D530)=0),"NO BUDGET ",""))</f>
        <v>NO BUDGET</v>
      </c>
      <c r="L530" s="83" t="str">
        <f aca="false">IF($K530="","OK",$K530)</f>
        <v>NO BUDGET</v>
      </c>
      <c r="M530" s="47" t="str">
        <f aca="false">IF(EXACT($L530,$I530),"ok","CHECK")</f>
        <v>ok</v>
      </c>
    </row>
    <row r="531" customFormat="false" ht="12" hidden="false" customHeight="true" outlineLevel="0" collapsed="false">
      <c r="B531" s="50" t="s">
        <v>156</v>
      </c>
      <c r="C531" s="50" t="s">
        <v>273</v>
      </c>
      <c r="D531" s="79" t="s">
        <v>114</v>
      </c>
      <c r="E531" s="80" t="n">
        <v>46195</v>
      </c>
      <c r="F531" s="50" t="s">
        <v>892</v>
      </c>
      <c r="G531" s="81" t="s">
        <v>893</v>
      </c>
      <c r="H531" s="82" t="n">
        <v>1993.61</v>
      </c>
      <c r="I531" s="65" t="s">
        <v>879</v>
      </c>
      <c r="J531" s="37" t="s">
        <v>77</v>
      </c>
      <c r="K531" s="37" t="str">
        <f aca="false">TRIM(IF($B531="UNASSIGNED","NO COST CENTRE ","")&amp;IF(ISNA(MATCH($C531,Mapping!$B$7:$B$36,0)),"UNMAPPED ","")&amp;IF(COUNTIFS($C$4:$C531,$C531,$F$4:$F531,$F531,$H$4:$H531,$H531)&gt;1,"DUPLICATE ","")&amp;IF(AND(NOT(ISNA(MATCH($C531,Mapping!$B$7:$B$36,0))),$H531&lt;-'Control Panel'!$E$16),"CREDIT ","")&amp;IF(AND(NOT(ISNA(MATCH($C531,Mapping!$B$7:$B$36,0))),COUNTIFS(Budget!$B$4:$B$107,$B531,Budget!$C$4:$C$107,$D531)=0),"NO BUDGET ",""))</f>
        <v>NO BUDGET</v>
      </c>
      <c r="L531" s="83" t="str">
        <f aca="false">IF($K531="","OK",$K531)</f>
        <v>NO BUDGET</v>
      </c>
      <c r="M531" s="47" t="str">
        <f aca="false">IF(EXACT($L531,$I531),"ok","CHECK")</f>
        <v>ok</v>
      </c>
    </row>
    <row r="532" customFormat="false" ht="12" hidden="false" customHeight="true" outlineLevel="0" collapsed="false">
      <c r="B532" s="50" t="s">
        <v>156</v>
      </c>
      <c r="C532" s="50" t="s">
        <v>241</v>
      </c>
      <c r="D532" s="79" t="s">
        <v>111</v>
      </c>
      <c r="E532" s="80" t="n">
        <v>46199</v>
      </c>
      <c r="F532" s="50" t="s">
        <v>894</v>
      </c>
      <c r="G532" s="81" t="s">
        <v>246</v>
      </c>
      <c r="H532" s="82" t="n">
        <v>1926.46</v>
      </c>
      <c r="I532" s="65" t="s">
        <v>879</v>
      </c>
      <c r="J532" s="37" t="s">
        <v>77</v>
      </c>
      <c r="K532" s="37" t="str">
        <f aca="false">TRIM(IF($B532="UNASSIGNED","NO COST CENTRE ","")&amp;IF(ISNA(MATCH($C532,Mapping!$B$7:$B$36,0)),"UNMAPPED ","")&amp;IF(COUNTIFS($C$4:$C532,$C532,$F$4:$F532,$F532,$H$4:$H532,$H532)&gt;1,"DUPLICATE ","")&amp;IF(AND(NOT(ISNA(MATCH($C532,Mapping!$B$7:$B$36,0))),$H532&lt;-'Control Panel'!$E$16),"CREDIT ","")&amp;IF(AND(NOT(ISNA(MATCH($C532,Mapping!$B$7:$B$36,0))),COUNTIFS(Budget!$B$4:$B$107,$B532,Budget!$C$4:$C$107,$D532)=0),"NO BUDGET ",""))</f>
        <v>NO BUDGET</v>
      </c>
      <c r="L532" s="83" t="str">
        <f aca="false">IF($K532="","OK",$K532)</f>
        <v>NO BUDGET</v>
      </c>
      <c r="M532" s="47" t="str">
        <f aca="false">IF(EXACT($L532,$I532),"ok","CHECK")</f>
        <v>ok</v>
      </c>
    </row>
    <row r="533" customFormat="false" ht="12" hidden="false" customHeight="true" outlineLevel="0" collapsed="false">
      <c r="B533" s="50" t="s">
        <v>156</v>
      </c>
      <c r="C533" s="50" t="s">
        <v>301</v>
      </c>
      <c r="D533" s="79" t="s">
        <v>122</v>
      </c>
      <c r="E533" s="80" t="n">
        <v>46200</v>
      </c>
      <c r="F533" s="50" t="s">
        <v>895</v>
      </c>
      <c r="G533" s="81" t="s">
        <v>237</v>
      </c>
      <c r="H533" s="82" t="n">
        <v>398.58</v>
      </c>
      <c r="I533" s="65" t="s">
        <v>879</v>
      </c>
      <c r="J533" s="37" t="s">
        <v>77</v>
      </c>
      <c r="K533" s="37" t="str">
        <f aca="false">TRIM(IF($B533="UNASSIGNED","NO COST CENTRE ","")&amp;IF(ISNA(MATCH($C533,Mapping!$B$7:$B$36,0)),"UNMAPPED ","")&amp;IF(COUNTIFS($C$4:$C533,$C533,$F$4:$F533,$F533,$H$4:$H533,$H533)&gt;1,"DUPLICATE ","")&amp;IF(AND(NOT(ISNA(MATCH($C533,Mapping!$B$7:$B$36,0))),$H533&lt;-'Control Panel'!$E$16),"CREDIT ","")&amp;IF(AND(NOT(ISNA(MATCH($C533,Mapping!$B$7:$B$36,0))),COUNTIFS(Budget!$B$4:$B$107,$B533,Budget!$C$4:$C$107,$D533)=0),"NO BUDGET ",""))</f>
        <v>NO BUDGET</v>
      </c>
      <c r="L533" s="83" t="str">
        <f aca="false">IF($K533="","OK",$K533)</f>
        <v>NO BUDGET</v>
      </c>
      <c r="M533" s="47" t="str">
        <f aca="false">IF(EXACT($L533,$I533),"ok","CHECK")</f>
        <v>ok</v>
      </c>
    </row>
    <row r="534" customFormat="false" ht="15" hidden="false" customHeight="false" outlineLevel="0" collapsed="false">
      <c r="G534" s="84" t="s">
        <v>896</v>
      </c>
      <c r="H534" s="76" t="n">
        <f aca="false">SUM(H4:H533)</f>
        <v>1086005.18</v>
      </c>
      <c r="I534" s="85" t="str">
        <f aca="false">COUNTIF(I4:I533,"OK")&amp;" clean, "&amp;(530-COUNTIF(I4:I533,"OK"))&amp;" flagged"</f>
        <v>506 clean, 24 flagged</v>
      </c>
      <c r="M534" s="86" t="str">
        <f aca="false">IF(COUNTIF(M4:M533,"ok")=530,"all agree","EXCEPTIONS")</f>
        <v>all agree</v>
      </c>
    </row>
  </sheetData>
  <mergeCells count="2">
    <mergeCell ref="A1:M1"/>
    <mergeCell ref="A2:M2"/>
  </mergeCells>
  <conditionalFormatting sqref="I4:I533">
    <cfRule type="expression" priority="2" aboveAverage="0" equalAverage="0" bottom="0" percent="0" rank="0" text="" dxfId="5">
      <formula>$I4&lt;&gt;"OK"</formula>
    </cfRule>
  </conditionalFormatting>
  <conditionalFormatting sqref="M4:M533">
    <cfRule type="expression" priority="3" aboveAverage="0" equalAverage="0" bottom="0" percent="0" rank="0" text="" dxfId="1">
      <formula>$M4="CHECK"</formula>
    </cfRule>
  </conditionalFormatting>
  <printOptions headings="false" gridLines="false" gridLinesSet="true" horizontalCentered="false" verticalCentered="false"/>
  <pageMargins left="0.3" right="0.3" top="1" bottom="1" header="0.5" footer="0.5"/>
  <pageSetup paperSize="9" scale="100" fitToWidth="1" fitToHeight="0" pageOrder="downThenOver" orientation="landscape" blackAndWhite="false" draft="false" cellComments="none" horizontalDpi="300" verticalDpi="300" copies="1"/>
  <headerFooter differentFirst="false" differentOddEven="false">
    <oddHeader>&amp;L&amp;"Arial,Bold"&amp;9Halcyon Metalworks Kft.&amp;R&amp;"Arial,Regular"&amp;9Cost centre reporting tool v2.4</oddHeader>
    <oddFooter>&amp;L&amp;"Arial,Regular"&amp;8Illustrative sample, fictional data - prepared by Tarlan Charkasov, ACCA&amp;R&amp;"Arial,Regular"&amp;8Page &amp;P of &amp;N</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E108"/>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3"/>
    <col collapsed="false" customWidth="true" hidden="false" outlineLevel="0" max="2" min="2" style="0" width="14"/>
    <col collapsed="false" customWidth="true" hidden="false" outlineLevel="0" max="3" min="3" style="0" width="30"/>
    <col collapsed="false" customWidth="true" hidden="false" outlineLevel="0" max="4" min="4" style="0" width="16"/>
    <col collapsed="false" customWidth="true" hidden="false" outlineLevel="0" max="5" min="5" style="0" width="60"/>
  </cols>
  <sheetData>
    <row r="1" customFormat="false" ht="24" hidden="false" customHeight="true" outlineLevel="0" collapsed="false">
      <c r="A1" s="18" t="s">
        <v>897</v>
      </c>
      <c r="B1" s="18"/>
      <c r="C1" s="18"/>
      <c r="D1" s="18"/>
      <c r="E1" s="18"/>
    </row>
    <row r="2" customFormat="false" ht="15" hidden="false" customHeight="true" outlineLevel="0" collapsed="false">
      <c r="A2" s="19" t="s">
        <v>898</v>
      </c>
      <c r="B2" s="19"/>
      <c r="C2" s="19"/>
      <c r="D2" s="19"/>
      <c r="E2" s="19"/>
    </row>
    <row r="3" customFormat="false" ht="19.5" hidden="false" customHeight="true" outlineLevel="0" collapsed="false">
      <c r="B3" s="11" t="s">
        <v>127</v>
      </c>
      <c r="C3" s="11" t="s">
        <v>102</v>
      </c>
      <c r="D3" s="11" t="s">
        <v>899</v>
      </c>
      <c r="E3" s="11" t="s">
        <v>900</v>
      </c>
    </row>
    <row r="4" customFormat="false" ht="15" hidden="false" customHeight="false" outlineLevel="0" collapsed="false">
      <c r="B4" s="50" t="s">
        <v>145</v>
      </c>
      <c r="C4" s="79" t="s">
        <v>109</v>
      </c>
      <c r="D4" s="82" t="n">
        <v>19500</v>
      </c>
    </row>
    <row r="5" customFormat="false" ht="15" hidden="false" customHeight="false" outlineLevel="0" collapsed="false">
      <c r="B5" s="50" t="s">
        <v>145</v>
      </c>
      <c r="C5" s="79" t="s">
        <v>110</v>
      </c>
      <c r="D5" s="82" t="n">
        <v>46000</v>
      </c>
    </row>
    <row r="6" customFormat="false" ht="15" hidden="false" customHeight="false" outlineLevel="0" collapsed="false">
      <c r="B6" s="50" t="s">
        <v>145</v>
      </c>
      <c r="C6" s="79" t="s">
        <v>111</v>
      </c>
      <c r="D6" s="82" t="n">
        <v>58000</v>
      </c>
    </row>
    <row r="7" customFormat="false" ht="15" hidden="false" customHeight="false" outlineLevel="0" collapsed="false">
      <c r="B7" s="50" t="s">
        <v>145</v>
      </c>
      <c r="C7" s="79" t="s">
        <v>112</v>
      </c>
      <c r="D7" s="82" t="n">
        <v>23200</v>
      </c>
    </row>
    <row r="8" customFormat="false" ht="15" hidden="false" customHeight="false" outlineLevel="0" collapsed="false">
      <c r="B8" s="50" t="s">
        <v>145</v>
      </c>
      <c r="C8" s="79" t="s">
        <v>113</v>
      </c>
      <c r="D8" s="82" t="n">
        <v>8000</v>
      </c>
    </row>
    <row r="9" customFormat="false" ht="15" hidden="false" customHeight="false" outlineLevel="0" collapsed="false">
      <c r="B9" s="50" t="s">
        <v>145</v>
      </c>
      <c r="C9" s="79" t="s">
        <v>114</v>
      </c>
      <c r="D9" s="82" t="n">
        <v>1200</v>
      </c>
    </row>
    <row r="10" customFormat="false" ht="15" hidden="false" customHeight="false" outlineLevel="0" collapsed="false">
      <c r="B10" s="50" t="s">
        <v>145</v>
      </c>
      <c r="C10" s="79" t="s">
        <v>115</v>
      </c>
      <c r="D10" s="82" t="n">
        <v>14000</v>
      </c>
    </row>
    <row r="11" customFormat="false" ht="15" hidden="false" customHeight="false" outlineLevel="0" collapsed="false">
      <c r="B11" s="50" t="s">
        <v>145</v>
      </c>
      <c r="C11" s="79" t="s">
        <v>118</v>
      </c>
      <c r="D11" s="82" t="n">
        <v>900</v>
      </c>
    </row>
    <row r="12" customFormat="false" ht="15" hidden="false" customHeight="false" outlineLevel="0" collapsed="false">
      <c r="B12" s="50" t="s">
        <v>145</v>
      </c>
      <c r="C12" s="79" t="s">
        <v>120</v>
      </c>
      <c r="D12" s="82" t="n">
        <v>400</v>
      </c>
    </row>
    <row r="13" customFormat="false" ht="15" hidden="false" customHeight="false" outlineLevel="0" collapsed="false">
      <c r="B13" s="50" t="s">
        <v>145</v>
      </c>
      <c r="C13" s="79" t="s">
        <v>122</v>
      </c>
      <c r="D13" s="82" t="n">
        <v>33000</v>
      </c>
    </row>
    <row r="14" customFormat="false" ht="15" hidden="false" customHeight="false" outlineLevel="0" collapsed="false">
      <c r="B14" s="50" t="s">
        <v>146</v>
      </c>
      <c r="C14" s="79" t="s">
        <v>109</v>
      </c>
      <c r="D14" s="82" t="n">
        <v>16800</v>
      </c>
    </row>
    <row r="15" customFormat="false" ht="15" hidden="false" customHeight="false" outlineLevel="0" collapsed="false">
      <c r="B15" s="50" t="s">
        <v>146</v>
      </c>
      <c r="C15" s="79" t="s">
        <v>110</v>
      </c>
      <c r="D15" s="82" t="n">
        <v>39000</v>
      </c>
    </row>
    <row r="16" customFormat="false" ht="15" hidden="false" customHeight="false" outlineLevel="0" collapsed="false">
      <c r="B16" s="50" t="s">
        <v>146</v>
      </c>
      <c r="C16" s="79" t="s">
        <v>111</v>
      </c>
      <c r="D16" s="82" t="n">
        <v>49000</v>
      </c>
    </row>
    <row r="17" customFormat="false" ht="15" hidden="false" customHeight="false" outlineLevel="0" collapsed="false">
      <c r="B17" s="50" t="s">
        <v>146</v>
      </c>
      <c r="C17" s="79" t="s">
        <v>112</v>
      </c>
      <c r="D17" s="82" t="n">
        <v>19600</v>
      </c>
    </row>
    <row r="18" customFormat="false" ht="15" hidden="false" customHeight="false" outlineLevel="0" collapsed="false">
      <c r="B18" s="50" t="s">
        <v>146</v>
      </c>
      <c r="C18" s="79" t="s">
        <v>113</v>
      </c>
      <c r="D18" s="82" t="n">
        <v>18000</v>
      </c>
    </row>
    <row r="19" customFormat="false" ht="15" hidden="false" customHeight="false" outlineLevel="0" collapsed="false">
      <c r="B19" s="50" t="s">
        <v>146</v>
      </c>
      <c r="C19" s="79" t="s">
        <v>114</v>
      </c>
      <c r="D19" s="82" t="n">
        <v>1000</v>
      </c>
    </row>
    <row r="20" customFormat="false" ht="15" hidden="false" customHeight="false" outlineLevel="0" collapsed="false">
      <c r="B20" s="50" t="s">
        <v>146</v>
      </c>
      <c r="C20" s="79" t="s">
        <v>115</v>
      </c>
      <c r="D20" s="82" t="n">
        <v>12500</v>
      </c>
    </row>
    <row r="21" customFormat="false" ht="15" hidden="false" customHeight="false" outlineLevel="0" collapsed="false">
      <c r="B21" s="50" t="s">
        <v>146</v>
      </c>
      <c r="C21" s="79" t="s">
        <v>118</v>
      </c>
      <c r="D21" s="82" t="n">
        <v>800</v>
      </c>
    </row>
    <row r="22" customFormat="false" ht="15" hidden="false" customHeight="false" outlineLevel="0" collapsed="false">
      <c r="B22" s="50" t="s">
        <v>146</v>
      </c>
      <c r="C22" s="79" t="s">
        <v>120</v>
      </c>
      <c r="D22" s="82" t="n">
        <v>350</v>
      </c>
    </row>
    <row r="23" customFormat="false" ht="15" hidden="false" customHeight="false" outlineLevel="0" collapsed="false">
      <c r="B23" s="50" t="s">
        <v>146</v>
      </c>
      <c r="C23" s="79" t="s">
        <v>122</v>
      </c>
      <c r="D23" s="82" t="n">
        <v>28500</v>
      </c>
    </row>
    <row r="24" customFormat="false" ht="15" hidden="false" customHeight="false" outlineLevel="0" collapsed="false">
      <c r="B24" s="50" t="s">
        <v>147</v>
      </c>
      <c r="C24" s="79" t="s">
        <v>109</v>
      </c>
      <c r="D24" s="82" t="n">
        <v>12400</v>
      </c>
    </row>
    <row r="25" customFormat="false" ht="15" hidden="false" customHeight="false" outlineLevel="0" collapsed="false">
      <c r="B25" s="50" t="s">
        <v>147</v>
      </c>
      <c r="C25" s="79" t="s">
        <v>110</v>
      </c>
      <c r="D25" s="82" t="n">
        <v>24000</v>
      </c>
    </row>
    <row r="26" customFormat="false" ht="15" hidden="false" customHeight="false" outlineLevel="0" collapsed="false">
      <c r="B26" s="50" t="s">
        <v>147</v>
      </c>
      <c r="C26" s="79" t="s">
        <v>111</v>
      </c>
      <c r="D26" s="82" t="n">
        <v>34000</v>
      </c>
    </row>
    <row r="27" customFormat="false" ht="15" hidden="false" customHeight="false" outlineLevel="0" collapsed="false">
      <c r="B27" s="50" t="s">
        <v>147</v>
      </c>
      <c r="C27" s="79" t="s">
        <v>112</v>
      </c>
      <c r="D27" s="82" t="n">
        <v>13600</v>
      </c>
    </row>
    <row r="28" customFormat="false" ht="15" hidden="false" customHeight="false" outlineLevel="0" collapsed="false">
      <c r="B28" s="50" t="s">
        <v>147</v>
      </c>
      <c r="C28" s="79" t="s">
        <v>113</v>
      </c>
      <c r="D28" s="82" t="n">
        <v>5500</v>
      </c>
    </row>
    <row r="29" customFormat="false" ht="15" hidden="false" customHeight="false" outlineLevel="0" collapsed="false">
      <c r="B29" s="50" t="s">
        <v>147</v>
      </c>
      <c r="C29" s="79" t="s">
        <v>114</v>
      </c>
      <c r="D29" s="82" t="n">
        <v>800</v>
      </c>
    </row>
    <row r="30" customFormat="false" ht="15" hidden="false" customHeight="false" outlineLevel="0" collapsed="false">
      <c r="B30" s="50" t="s">
        <v>147</v>
      </c>
      <c r="C30" s="79" t="s">
        <v>115</v>
      </c>
      <c r="D30" s="82" t="n">
        <v>9000</v>
      </c>
    </row>
    <row r="31" customFormat="false" ht="15" hidden="false" customHeight="false" outlineLevel="0" collapsed="false">
      <c r="B31" s="50" t="s">
        <v>147</v>
      </c>
      <c r="C31" s="79" t="s">
        <v>118</v>
      </c>
      <c r="D31" s="82" t="n">
        <v>700</v>
      </c>
    </row>
    <row r="32" customFormat="false" ht="15" hidden="false" customHeight="false" outlineLevel="0" collapsed="false">
      <c r="B32" s="50" t="s">
        <v>147</v>
      </c>
      <c r="C32" s="79" t="s">
        <v>120</v>
      </c>
      <c r="D32" s="82" t="n">
        <v>300</v>
      </c>
    </row>
    <row r="33" customFormat="false" ht="15" hidden="false" customHeight="false" outlineLevel="0" collapsed="false">
      <c r="B33" s="50" t="s">
        <v>147</v>
      </c>
      <c r="C33" s="79" t="s">
        <v>122</v>
      </c>
      <c r="D33" s="82" t="n">
        <v>19000</v>
      </c>
    </row>
    <row r="34" customFormat="false" ht="15" hidden="false" customHeight="false" outlineLevel="0" collapsed="false">
      <c r="B34" s="50" t="s">
        <v>148</v>
      </c>
      <c r="C34" s="79" t="s">
        <v>109</v>
      </c>
      <c r="D34" s="82" t="n">
        <v>6200</v>
      </c>
    </row>
    <row r="35" customFormat="false" ht="15" hidden="false" customHeight="false" outlineLevel="0" collapsed="false">
      <c r="B35" s="50" t="s">
        <v>148</v>
      </c>
      <c r="C35" s="79" t="s">
        <v>110</v>
      </c>
      <c r="D35" s="82" t="n">
        <v>9500</v>
      </c>
    </row>
    <row r="36" customFormat="false" ht="15" hidden="false" customHeight="false" outlineLevel="0" collapsed="false">
      <c r="B36" s="50" t="s">
        <v>148</v>
      </c>
      <c r="C36" s="79" t="s">
        <v>111</v>
      </c>
      <c r="D36" s="82" t="n">
        <v>21000</v>
      </c>
    </row>
    <row r="37" customFormat="false" ht="15" hidden="false" customHeight="false" outlineLevel="0" collapsed="false">
      <c r="B37" s="50" t="s">
        <v>148</v>
      </c>
      <c r="C37" s="79" t="s">
        <v>112</v>
      </c>
      <c r="D37" s="82" t="n">
        <v>8400</v>
      </c>
    </row>
    <row r="38" customFormat="false" ht="15" hidden="false" customHeight="false" outlineLevel="0" collapsed="false">
      <c r="B38" s="50" t="s">
        <v>148</v>
      </c>
      <c r="C38" s="79" t="s">
        <v>113</v>
      </c>
      <c r="D38" s="82" t="n">
        <v>4000</v>
      </c>
    </row>
    <row r="39" customFormat="false" ht="15" hidden="false" customHeight="false" outlineLevel="0" collapsed="false">
      <c r="B39" s="50" t="s">
        <v>148</v>
      </c>
      <c r="C39" s="79" t="s">
        <v>114</v>
      </c>
      <c r="D39" s="82" t="n">
        <v>500</v>
      </c>
    </row>
    <row r="40" customFormat="false" ht="15" hidden="false" customHeight="false" outlineLevel="0" collapsed="false">
      <c r="B40" s="50" t="s">
        <v>148</v>
      </c>
      <c r="C40" s="79" t="s">
        <v>115</v>
      </c>
      <c r="D40" s="82" t="n">
        <v>3800</v>
      </c>
    </row>
    <row r="41" customFormat="false" ht="15" hidden="false" customHeight="false" outlineLevel="0" collapsed="false">
      <c r="B41" s="50" t="s">
        <v>148</v>
      </c>
      <c r="C41" s="79" t="s">
        <v>118</v>
      </c>
      <c r="D41" s="82" t="n">
        <v>500</v>
      </c>
    </row>
    <row r="42" customFormat="false" ht="15" hidden="false" customHeight="false" outlineLevel="0" collapsed="false">
      <c r="B42" s="50" t="s">
        <v>148</v>
      </c>
      <c r="C42" s="79" t="s">
        <v>120</v>
      </c>
      <c r="D42" s="82" t="n">
        <v>200</v>
      </c>
    </row>
    <row r="43" customFormat="false" ht="15" hidden="false" customHeight="false" outlineLevel="0" collapsed="false">
      <c r="B43" s="50" t="s">
        <v>148</v>
      </c>
      <c r="C43" s="79" t="s">
        <v>122</v>
      </c>
      <c r="D43" s="82" t="n">
        <v>6500</v>
      </c>
    </row>
    <row r="44" customFormat="false" ht="15" hidden="false" customHeight="false" outlineLevel="0" collapsed="false">
      <c r="B44" s="50" t="s">
        <v>149</v>
      </c>
      <c r="C44" s="79" t="s">
        <v>109</v>
      </c>
      <c r="D44" s="82" t="n">
        <v>3400</v>
      </c>
    </row>
    <row r="45" customFormat="false" ht="15" hidden="false" customHeight="false" outlineLevel="0" collapsed="false">
      <c r="B45" s="50" t="s">
        <v>149</v>
      </c>
      <c r="C45" s="79" t="s">
        <v>110</v>
      </c>
      <c r="D45" s="82" t="n">
        <v>1800</v>
      </c>
    </row>
    <row r="46" customFormat="false" ht="15" hidden="false" customHeight="false" outlineLevel="0" collapsed="false">
      <c r="B46" s="50" t="s">
        <v>149</v>
      </c>
      <c r="C46" s="79" t="s">
        <v>111</v>
      </c>
      <c r="D46" s="82" t="n">
        <v>18500</v>
      </c>
    </row>
    <row r="47" customFormat="false" ht="15" hidden="false" customHeight="false" outlineLevel="0" collapsed="false">
      <c r="B47" s="50" t="s">
        <v>149</v>
      </c>
      <c r="C47" s="79" t="s">
        <v>112</v>
      </c>
      <c r="D47" s="82" t="n">
        <v>7400</v>
      </c>
    </row>
    <row r="48" customFormat="false" ht="15" hidden="false" customHeight="false" outlineLevel="0" collapsed="false">
      <c r="B48" s="50" t="s">
        <v>149</v>
      </c>
      <c r="C48" s="79" t="s">
        <v>114</v>
      </c>
      <c r="D48" s="82" t="n">
        <v>2200</v>
      </c>
    </row>
    <row r="49" customFormat="false" ht="15" hidden="false" customHeight="false" outlineLevel="0" collapsed="false">
      <c r="B49" s="50" t="s">
        <v>149</v>
      </c>
      <c r="C49" s="79" t="s">
        <v>115</v>
      </c>
      <c r="D49" s="82" t="n">
        <v>2600</v>
      </c>
    </row>
    <row r="50" customFormat="false" ht="15" hidden="false" customHeight="false" outlineLevel="0" collapsed="false">
      <c r="B50" s="50" t="s">
        <v>149</v>
      </c>
      <c r="C50" s="79" t="s">
        <v>118</v>
      </c>
      <c r="D50" s="82" t="n">
        <v>1400</v>
      </c>
    </row>
    <row r="51" customFormat="false" ht="15" hidden="false" customHeight="false" outlineLevel="0" collapsed="false">
      <c r="B51" s="50" t="s">
        <v>149</v>
      </c>
      <c r="C51" s="79" t="s">
        <v>119</v>
      </c>
      <c r="D51" s="82" t="n">
        <v>1800</v>
      </c>
    </row>
    <row r="52" customFormat="false" ht="15" hidden="false" customHeight="false" outlineLevel="0" collapsed="false">
      <c r="B52" s="50" t="s">
        <v>149</v>
      </c>
      <c r="C52" s="79" t="s">
        <v>120</v>
      </c>
      <c r="D52" s="82" t="n">
        <v>900</v>
      </c>
    </row>
    <row r="53" customFormat="false" ht="15" hidden="false" customHeight="false" outlineLevel="0" collapsed="false">
      <c r="B53" s="50" t="s">
        <v>149</v>
      </c>
      <c r="C53" s="79" t="s">
        <v>122</v>
      </c>
      <c r="D53" s="82" t="n">
        <v>4800</v>
      </c>
    </row>
    <row r="54" customFormat="false" ht="15" hidden="false" customHeight="false" outlineLevel="0" collapsed="false">
      <c r="B54" s="50" t="s">
        <v>150</v>
      </c>
      <c r="C54" s="79" t="s">
        <v>109</v>
      </c>
      <c r="D54" s="82" t="n">
        <v>5600</v>
      </c>
    </row>
    <row r="55" customFormat="false" ht="15" hidden="false" customHeight="false" outlineLevel="0" collapsed="false">
      <c r="B55" s="50" t="s">
        <v>150</v>
      </c>
      <c r="C55" s="79" t="s">
        <v>110</v>
      </c>
      <c r="D55" s="82" t="n">
        <v>1200</v>
      </c>
    </row>
    <row r="56" customFormat="false" ht="15" hidden="false" customHeight="false" outlineLevel="0" collapsed="false">
      <c r="B56" s="50" t="s">
        <v>150</v>
      </c>
      <c r="C56" s="79" t="s">
        <v>111</v>
      </c>
      <c r="D56" s="82" t="n">
        <v>16800</v>
      </c>
    </row>
    <row r="57" customFormat="false" ht="15" hidden="false" customHeight="false" outlineLevel="0" collapsed="false">
      <c r="B57" s="50" t="s">
        <v>150</v>
      </c>
      <c r="C57" s="79" t="s">
        <v>112</v>
      </c>
      <c r="D57" s="82" t="n">
        <v>6720</v>
      </c>
    </row>
    <row r="58" customFormat="false" ht="15" hidden="false" customHeight="false" outlineLevel="0" collapsed="false">
      <c r="B58" s="50" t="s">
        <v>150</v>
      </c>
      <c r="C58" s="79" t="s">
        <v>113</v>
      </c>
      <c r="D58" s="82" t="n">
        <v>2500</v>
      </c>
    </row>
    <row r="59" customFormat="false" ht="15" hidden="false" customHeight="false" outlineLevel="0" collapsed="false">
      <c r="B59" s="50" t="s">
        <v>150</v>
      </c>
      <c r="C59" s="79" t="s">
        <v>114</v>
      </c>
      <c r="D59" s="82" t="n">
        <v>900</v>
      </c>
    </row>
    <row r="60" customFormat="false" ht="15" hidden="false" customHeight="false" outlineLevel="0" collapsed="false">
      <c r="B60" s="50" t="s">
        <v>150</v>
      </c>
      <c r="C60" s="79" t="s">
        <v>115</v>
      </c>
      <c r="D60" s="82" t="n">
        <v>31000</v>
      </c>
    </row>
    <row r="61" customFormat="false" ht="15" hidden="false" customHeight="false" outlineLevel="0" collapsed="false">
      <c r="B61" s="50" t="s">
        <v>150</v>
      </c>
      <c r="C61" s="79" t="s">
        <v>118</v>
      </c>
      <c r="D61" s="82" t="n">
        <v>600</v>
      </c>
    </row>
    <row r="62" customFormat="false" ht="15" hidden="false" customHeight="false" outlineLevel="0" collapsed="false">
      <c r="B62" s="50" t="s">
        <v>150</v>
      </c>
      <c r="C62" s="79" t="s">
        <v>120</v>
      </c>
      <c r="D62" s="82" t="n">
        <v>400</v>
      </c>
    </row>
    <row r="63" customFormat="false" ht="15" hidden="false" customHeight="false" outlineLevel="0" collapsed="false">
      <c r="B63" s="50" t="s">
        <v>150</v>
      </c>
      <c r="C63" s="79" t="s">
        <v>122</v>
      </c>
      <c r="D63" s="82" t="n">
        <v>3200</v>
      </c>
    </row>
    <row r="64" customFormat="false" ht="15" hidden="false" customHeight="false" outlineLevel="0" collapsed="false">
      <c r="B64" s="50" t="s">
        <v>151</v>
      </c>
      <c r="C64" s="79" t="s">
        <v>109</v>
      </c>
      <c r="D64" s="82" t="n">
        <v>2800</v>
      </c>
    </row>
    <row r="65" customFormat="false" ht="15" hidden="false" customHeight="false" outlineLevel="0" collapsed="false">
      <c r="B65" s="50" t="s">
        <v>151</v>
      </c>
      <c r="C65" s="79" t="s">
        <v>110</v>
      </c>
      <c r="D65" s="82" t="n">
        <v>3600</v>
      </c>
    </row>
    <row r="66" customFormat="false" ht="15" hidden="false" customHeight="false" outlineLevel="0" collapsed="false">
      <c r="B66" s="50" t="s">
        <v>151</v>
      </c>
      <c r="C66" s="79" t="s">
        <v>111</v>
      </c>
      <c r="D66" s="82" t="n">
        <v>22400</v>
      </c>
    </row>
    <row r="67" customFormat="false" ht="15" hidden="false" customHeight="false" outlineLevel="0" collapsed="false">
      <c r="B67" s="50" t="s">
        <v>151</v>
      </c>
      <c r="C67" s="79" t="s">
        <v>112</v>
      </c>
      <c r="D67" s="82" t="n">
        <v>8960</v>
      </c>
    </row>
    <row r="68" customFormat="false" ht="15" hidden="false" customHeight="false" outlineLevel="0" collapsed="false">
      <c r="B68" s="50" t="s">
        <v>151</v>
      </c>
      <c r="C68" s="79" t="s">
        <v>113</v>
      </c>
      <c r="D68" s="82" t="n">
        <v>6000</v>
      </c>
    </row>
    <row r="69" customFormat="false" ht="15" hidden="false" customHeight="false" outlineLevel="0" collapsed="false">
      <c r="B69" s="50" t="s">
        <v>151</v>
      </c>
      <c r="C69" s="79" t="s">
        <v>114</v>
      </c>
      <c r="D69" s="82" t="n">
        <v>600</v>
      </c>
    </row>
    <row r="70" customFormat="false" ht="15" hidden="false" customHeight="false" outlineLevel="0" collapsed="false">
      <c r="B70" s="50" t="s">
        <v>151</v>
      </c>
      <c r="C70" s="79" t="s">
        <v>115</v>
      </c>
      <c r="D70" s="82" t="n">
        <v>2400</v>
      </c>
    </row>
    <row r="71" customFormat="false" ht="15" hidden="false" customHeight="false" outlineLevel="0" collapsed="false">
      <c r="B71" s="50" t="s">
        <v>151</v>
      </c>
      <c r="C71" s="79" t="s">
        <v>116</v>
      </c>
      <c r="D71" s="82" t="n">
        <v>4800</v>
      </c>
    </row>
    <row r="72" customFormat="false" ht="15" hidden="false" customHeight="false" outlineLevel="0" collapsed="false">
      <c r="B72" s="50" t="s">
        <v>151</v>
      </c>
      <c r="C72" s="79" t="s">
        <v>117</v>
      </c>
      <c r="D72" s="82" t="n">
        <v>41000</v>
      </c>
    </row>
    <row r="73" customFormat="false" ht="15" hidden="false" customHeight="false" outlineLevel="0" collapsed="false">
      <c r="B73" s="50" t="s">
        <v>151</v>
      </c>
      <c r="C73" s="79" t="s">
        <v>118</v>
      </c>
      <c r="D73" s="82" t="n">
        <v>900</v>
      </c>
    </row>
    <row r="74" customFormat="false" ht="15" hidden="false" customHeight="false" outlineLevel="0" collapsed="false">
      <c r="B74" s="50" t="s">
        <v>151</v>
      </c>
      <c r="C74" s="79" t="s">
        <v>120</v>
      </c>
      <c r="D74" s="82" t="n">
        <v>300</v>
      </c>
    </row>
    <row r="75" customFormat="false" ht="15" hidden="false" customHeight="false" outlineLevel="0" collapsed="false">
      <c r="B75" s="50" t="s">
        <v>151</v>
      </c>
      <c r="C75" s="79" t="s">
        <v>122</v>
      </c>
      <c r="D75" s="82" t="n">
        <v>5400</v>
      </c>
    </row>
    <row r="76" customFormat="false" ht="15" hidden="false" customHeight="false" outlineLevel="0" collapsed="false">
      <c r="B76" s="50" t="s">
        <v>152</v>
      </c>
      <c r="C76" s="79" t="s">
        <v>111</v>
      </c>
      <c r="D76" s="82" t="n">
        <v>12600</v>
      </c>
    </row>
    <row r="77" customFormat="false" ht="15" hidden="false" customHeight="false" outlineLevel="0" collapsed="false">
      <c r="B77" s="50" t="s">
        <v>152</v>
      </c>
      <c r="C77" s="79" t="s">
        <v>112</v>
      </c>
      <c r="D77" s="82" t="n">
        <v>5040</v>
      </c>
    </row>
    <row r="78" customFormat="false" ht="15" hidden="false" customHeight="false" outlineLevel="0" collapsed="false">
      <c r="B78" s="50" t="s">
        <v>152</v>
      </c>
      <c r="C78" s="79" t="s">
        <v>114</v>
      </c>
      <c r="D78" s="82" t="n">
        <v>700</v>
      </c>
    </row>
    <row r="79" customFormat="false" ht="15" hidden="false" customHeight="false" outlineLevel="0" collapsed="false">
      <c r="B79" s="50" t="s">
        <v>152</v>
      </c>
      <c r="C79" s="79" t="s">
        <v>118</v>
      </c>
      <c r="D79" s="82" t="n">
        <v>2400</v>
      </c>
    </row>
    <row r="80" customFormat="false" ht="15" hidden="false" customHeight="false" outlineLevel="0" collapsed="false">
      <c r="B80" s="50" t="s">
        <v>152</v>
      </c>
      <c r="C80" s="79" t="s">
        <v>120</v>
      </c>
      <c r="D80" s="82" t="n">
        <v>500</v>
      </c>
    </row>
    <row r="81" customFormat="false" ht="15" hidden="false" customHeight="false" outlineLevel="0" collapsed="false">
      <c r="B81" s="50" t="s">
        <v>152</v>
      </c>
      <c r="C81" s="79" t="s">
        <v>122</v>
      </c>
      <c r="D81" s="82" t="n">
        <v>800</v>
      </c>
    </row>
    <row r="82" customFormat="false" ht="15" hidden="false" customHeight="false" outlineLevel="0" collapsed="false">
      <c r="B82" s="50" t="s">
        <v>153</v>
      </c>
      <c r="C82" s="79" t="s">
        <v>109</v>
      </c>
      <c r="D82" s="82" t="n">
        <v>3200</v>
      </c>
    </row>
    <row r="83" customFormat="false" ht="15" hidden="false" customHeight="false" outlineLevel="0" collapsed="false">
      <c r="B83" s="50" t="s">
        <v>153</v>
      </c>
      <c r="C83" s="79" t="s">
        <v>111</v>
      </c>
      <c r="D83" s="82" t="n">
        <v>26000</v>
      </c>
    </row>
    <row r="84" customFormat="false" ht="15" hidden="false" customHeight="false" outlineLevel="0" collapsed="false">
      <c r="B84" s="50" t="s">
        <v>153</v>
      </c>
      <c r="C84" s="79" t="s">
        <v>112</v>
      </c>
      <c r="D84" s="82" t="n">
        <v>10400</v>
      </c>
    </row>
    <row r="85" customFormat="false" ht="15" hidden="false" customHeight="false" outlineLevel="0" collapsed="false">
      <c r="B85" s="50" t="s">
        <v>153</v>
      </c>
      <c r="C85" s="79" t="s">
        <v>113</v>
      </c>
      <c r="D85" s="82" t="n">
        <v>3000</v>
      </c>
    </row>
    <row r="86" customFormat="false" ht="15" hidden="false" customHeight="false" outlineLevel="0" collapsed="false">
      <c r="B86" s="50" t="s">
        <v>153</v>
      </c>
      <c r="C86" s="79" t="s">
        <v>114</v>
      </c>
      <c r="D86" s="82" t="n">
        <v>1800</v>
      </c>
    </row>
    <row r="87" customFormat="false" ht="15" hidden="false" customHeight="false" outlineLevel="0" collapsed="false">
      <c r="B87" s="50" t="s">
        <v>153</v>
      </c>
      <c r="C87" s="79" t="s">
        <v>115</v>
      </c>
      <c r="D87" s="82" t="n">
        <v>1200</v>
      </c>
    </row>
    <row r="88" customFormat="false" ht="15" hidden="false" customHeight="false" outlineLevel="0" collapsed="false">
      <c r="B88" s="50" t="s">
        <v>153</v>
      </c>
      <c r="C88" s="79" t="s">
        <v>118</v>
      </c>
      <c r="D88" s="82" t="n">
        <v>4200</v>
      </c>
    </row>
    <row r="89" customFormat="false" ht="15" hidden="false" customHeight="false" outlineLevel="0" collapsed="false">
      <c r="B89" s="50" t="s">
        <v>153</v>
      </c>
      <c r="C89" s="79" t="s">
        <v>119</v>
      </c>
      <c r="D89" s="82" t="n">
        <v>2400</v>
      </c>
    </row>
    <row r="90" customFormat="false" ht="15" hidden="false" customHeight="false" outlineLevel="0" collapsed="false">
      <c r="B90" s="50" t="s">
        <v>153</v>
      </c>
      <c r="C90" s="79" t="s">
        <v>120</v>
      </c>
      <c r="D90" s="82" t="n">
        <v>1900</v>
      </c>
    </row>
    <row r="91" customFormat="false" ht="15" hidden="false" customHeight="false" outlineLevel="0" collapsed="false">
      <c r="B91" s="50" t="s">
        <v>153</v>
      </c>
      <c r="C91" s="79" t="s">
        <v>122</v>
      </c>
      <c r="D91" s="82" t="n">
        <v>3600</v>
      </c>
    </row>
    <row r="92" customFormat="false" ht="15" hidden="false" customHeight="false" outlineLevel="0" collapsed="false">
      <c r="B92" s="50" t="s">
        <v>154</v>
      </c>
      <c r="C92" s="79" t="s">
        <v>111</v>
      </c>
      <c r="D92" s="82" t="n">
        <v>24000</v>
      </c>
    </row>
    <row r="93" customFormat="false" ht="15" hidden="false" customHeight="false" outlineLevel="0" collapsed="false">
      <c r="B93" s="50" t="s">
        <v>154</v>
      </c>
      <c r="C93" s="79" t="s">
        <v>112</v>
      </c>
      <c r="D93" s="82" t="n">
        <v>9600</v>
      </c>
    </row>
    <row r="94" customFormat="false" ht="15" hidden="false" customHeight="false" outlineLevel="0" collapsed="false">
      <c r="B94" s="50" t="s">
        <v>154</v>
      </c>
      <c r="C94" s="79" t="s">
        <v>114</v>
      </c>
      <c r="D94" s="82" t="n">
        <v>900</v>
      </c>
    </row>
    <row r="95" customFormat="false" ht="15" hidden="false" customHeight="false" outlineLevel="0" collapsed="false">
      <c r="B95" s="50" t="s">
        <v>154</v>
      </c>
      <c r="C95" s="79" t="s">
        <v>118</v>
      </c>
      <c r="D95" s="82" t="n">
        <v>2800</v>
      </c>
    </row>
    <row r="96" customFormat="false" ht="15" hidden="false" customHeight="false" outlineLevel="0" collapsed="false">
      <c r="B96" s="50" t="s">
        <v>154</v>
      </c>
      <c r="C96" s="79" t="s">
        <v>119</v>
      </c>
      <c r="D96" s="82" t="n">
        <v>1200</v>
      </c>
    </row>
    <row r="97" customFormat="false" ht="15" hidden="false" customHeight="false" outlineLevel="0" collapsed="false">
      <c r="B97" s="50" t="s">
        <v>154</v>
      </c>
      <c r="C97" s="79" t="s">
        <v>120</v>
      </c>
      <c r="D97" s="82" t="n">
        <v>12000</v>
      </c>
    </row>
    <row r="98" customFormat="false" ht="15" hidden="false" customHeight="false" outlineLevel="0" collapsed="false">
      <c r="B98" s="50" t="s">
        <v>154</v>
      </c>
      <c r="C98" s="79" t="s">
        <v>122</v>
      </c>
      <c r="D98" s="82" t="n">
        <v>1400</v>
      </c>
    </row>
    <row r="99" customFormat="false" ht="15" hidden="false" customHeight="false" outlineLevel="0" collapsed="false">
      <c r="B99" s="50" t="s">
        <v>155</v>
      </c>
      <c r="C99" s="79" t="s">
        <v>111</v>
      </c>
      <c r="D99" s="82" t="n">
        <v>21000</v>
      </c>
    </row>
    <row r="100" customFormat="false" ht="15" hidden="false" customHeight="false" outlineLevel="0" collapsed="false">
      <c r="B100" s="50" t="s">
        <v>155</v>
      </c>
      <c r="C100" s="79" t="s">
        <v>112</v>
      </c>
      <c r="D100" s="82" t="n">
        <v>8400</v>
      </c>
    </row>
    <row r="101" customFormat="false" ht="15" hidden="false" customHeight="false" outlineLevel="0" collapsed="false">
      <c r="B101" s="50" t="s">
        <v>155</v>
      </c>
      <c r="C101" s="79" t="s">
        <v>114</v>
      </c>
      <c r="D101" s="82" t="n">
        <v>1100</v>
      </c>
    </row>
    <row r="102" customFormat="false" ht="15" hidden="false" customHeight="false" outlineLevel="0" collapsed="false">
      <c r="B102" s="50" t="s">
        <v>155</v>
      </c>
      <c r="C102" s="79" t="s">
        <v>116</v>
      </c>
      <c r="D102" s="82" t="n">
        <v>22000</v>
      </c>
    </row>
    <row r="103" customFormat="false" ht="15" hidden="false" customHeight="false" outlineLevel="0" collapsed="false">
      <c r="B103" s="50" t="s">
        <v>155</v>
      </c>
      <c r="C103" s="79" t="s">
        <v>118</v>
      </c>
      <c r="D103" s="82" t="n">
        <v>6800</v>
      </c>
    </row>
    <row r="104" customFormat="false" ht="15" hidden="false" customHeight="false" outlineLevel="0" collapsed="false">
      <c r="B104" s="50" t="s">
        <v>155</v>
      </c>
      <c r="C104" s="79" t="s">
        <v>119</v>
      </c>
      <c r="D104" s="82" t="n">
        <v>9000</v>
      </c>
    </row>
    <row r="105" customFormat="false" ht="15" hidden="false" customHeight="false" outlineLevel="0" collapsed="false">
      <c r="B105" s="50" t="s">
        <v>155</v>
      </c>
      <c r="C105" s="79" t="s">
        <v>120</v>
      </c>
      <c r="D105" s="82" t="n">
        <v>900</v>
      </c>
    </row>
    <row r="106" customFormat="false" ht="15" hidden="false" customHeight="false" outlineLevel="0" collapsed="false">
      <c r="B106" s="50" t="s">
        <v>155</v>
      </c>
      <c r="C106" s="79" t="s">
        <v>121</v>
      </c>
      <c r="D106" s="82" t="n">
        <v>12400</v>
      </c>
    </row>
    <row r="107" customFormat="false" ht="15" hidden="false" customHeight="false" outlineLevel="0" collapsed="false">
      <c r="B107" s="50" t="s">
        <v>155</v>
      </c>
      <c r="C107" s="79" t="s">
        <v>122</v>
      </c>
      <c r="D107" s="82" t="n">
        <v>2200</v>
      </c>
    </row>
    <row r="108" customFormat="false" ht="39" hidden="false" customHeight="true" outlineLevel="0" collapsed="false">
      <c r="C108" s="84" t="s">
        <v>901</v>
      </c>
      <c r="D108" s="76" t="n">
        <f aca="false">SUM(D4:D107)</f>
        <v>997970</v>
      </c>
      <c r="E108" s="87" t="s">
        <v>902</v>
      </c>
    </row>
  </sheetData>
  <mergeCells count="2">
    <mergeCell ref="A1:E1"/>
    <mergeCell ref="A2:E2"/>
  </mergeCells>
  <printOptions headings="false" gridLines="false" gridLinesSet="true" horizontalCentered="false" verticalCentered="false"/>
  <pageMargins left="0.3" right="0.3" top="1" bottom="1" header="0.5" footer="0.5"/>
  <pageSetup paperSize="9" scale="100" fitToWidth="1" fitToHeight="0" pageOrder="downThenOver" orientation="portrait" blackAndWhite="false" draft="false" cellComments="none" horizontalDpi="300" verticalDpi="300" copies="1"/>
  <headerFooter differentFirst="false" differentOddEven="false">
    <oddHeader>&amp;L&amp;"Arial,Bold"&amp;9Halcyon Metalworks Kft.&amp;R&amp;"Arial,Regular"&amp;9Cost centre reporting tool v2.4</oddHeader>
    <oddFooter>&amp;L&amp;"Arial,Regular"&amp;8Illustrative sample, fictional data - prepared by Tarlan Charkasov, ACCA&amp;R&amp;"Arial,Regular"&amp;8Page &amp;P of &amp;N</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J39"/>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3"/>
    <col collapsed="false" customWidth="true" hidden="false" outlineLevel="0" max="2" min="2" style="0" width="12"/>
    <col collapsed="false" customWidth="true" hidden="false" outlineLevel="0" max="3" min="3" style="0" width="28"/>
    <col collapsed="false" customWidth="true" hidden="false" outlineLevel="0" max="4" min="4" style="0" width="34"/>
    <col collapsed="false" customWidth="true" hidden="false" outlineLevel="0" max="5" min="5" style="0" width="13"/>
    <col collapsed="false" customWidth="true" hidden="false" outlineLevel="0" max="6" min="6" style="0" width="12"/>
    <col collapsed="false" customWidth="true" hidden="false" outlineLevel="0" max="7" min="7" style="0" width="28"/>
    <col collapsed="false" customWidth="true" hidden="false" outlineLevel="0" max="8" min="8" style="0" width="18"/>
    <col collapsed="false" customWidth="true" hidden="false" outlineLevel="0" max="9" min="9" style="0" width="15"/>
    <col collapsed="false" customWidth="true" hidden="false" outlineLevel="0" max="10" min="10" style="0" width="13"/>
  </cols>
  <sheetData>
    <row r="1" customFormat="false" ht="24" hidden="false" customHeight="true" outlineLevel="0" collapsed="false">
      <c r="A1" s="18" t="s">
        <v>903</v>
      </c>
      <c r="B1" s="18"/>
      <c r="C1" s="18"/>
      <c r="D1" s="18"/>
      <c r="E1" s="18"/>
      <c r="F1" s="18"/>
      <c r="G1" s="18"/>
      <c r="H1" s="18"/>
      <c r="I1" s="18"/>
      <c r="J1" s="18"/>
    </row>
    <row r="2" customFormat="false" ht="15" hidden="false" customHeight="true" outlineLevel="0" collapsed="false">
      <c r="A2" s="19" t="s">
        <v>904</v>
      </c>
      <c r="B2" s="19"/>
      <c r="C2" s="19"/>
      <c r="D2" s="19"/>
      <c r="E2" s="19"/>
      <c r="F2" s="19"/>
      <c r="G2" s="19"/>
      <c r="H2" s="19"/>
      <c r="I2" s="19"/>
      <c r="J2" s="19"/>
    </row>
    <row r="5" customFormat="false" ht="16.5" hidden="false" customHeight="true" outlineLevel="0" collapsed="false">
      <c r="A5" s="9" t="s">
        <v>905</v>
      </c>
      <c r="B5" s="9"/>
      <c r="C5" s="9"/>
      <c r="D5" s="9"/>
      <c r="E5" s="9"/>
      <c r="F5" s="9" t="s">
        <v>906</v>
      </c>
      <c r="G5" s="9"/>
      <c r="H5" s="9"/>
      <c r="I5" s="9"/>
      <c r="J5" s="9"/>
    </row>
    <row r="6" customFormat="false" ht="19.5" hidden="false" customHeight="true" outlineLevel="0" collapsed="false">
      <c r="B6" s="11" t="s">
        <v>209</v>
      </c>
      <c r="C6" s="11" t="s">
        <v>102</v>
      </c>
      <c r="D6" s="11" t="s">
        <v>907</v>
      </c>
      <c r="E6" s="11" t="s">
        <v>908</v>
      </c>
      <c r="F6" s="11" t="s">
        <v>909</v>
      </c>
      <c r="G6" s="11" t="s">
        <v>127</v>
      </c>
      <c r="H6" s="11" t="s">
        <v>128</v>
      </c>
      <c r="I6" s="11" t="s">
        <v>910</v>
      </c>
      <c r="J6" s="11" t="s">
        <v>911</v>
      </c>
    </row>
    <row r="7" customFormat="false" ht="15" hidden="false" customHeight="false" outlineLevel="0" collapsed="false">
      <c r="B7" s="88" t="s">
        <v>337</v>
      </c>
      <c r="C7" s="89" t="s">
        <v>109</v>
      </c>
      <c r="D7" s="90" t="s">
        <v>912</v>
      </c>
      <c r="E7" s="91" t="n">
        <f aca="false">COUNTIFS(Staging!$C$4:$C$533,$B7)</f>
        <v>25</v>
      </c>
      <c r="F7" s="88" t="s">
        <v>145</v>
      </c>
      <c r="G7" s="89" t="s">
        <v>913</v>
      </c>
      <c r="H7" s="90" t="s">
        <v>914</v>
      </c>
      <c r="I7" s="90" t="s">
        <v>915</v>
      </c>
      <c r="J7" s="72" t="str">
        <f aca="false">IF(COUNTIFS(Budget!$B$4:$B$107,$F7)&gt;0,"yes","NONE")</f>
        <v>yes</v>
      </c>
    </row>
    <row r="8" customFormat="false" ht="15" hidden="false" customHeight="false" outlineLevel="0" collapsed="false">
      <c r="B8" s="88" t="s">
        <v>266</v>
      </c>
      <c r="C8" s="89" t="s">
        <v>109</v>
      </c>
      <c r="D8" s="90" t="s">
        <v>916</v>
      </c>
      <c r="E8" s="91" t="n">
        <f aca="false">COUNTIFS(Staging!$C$4:$C$533,$B8)</f>
        <v>27</v>
      </c>
      <c r="F8" s="88" t="s">
        <v>146</v>
      </c>
      <c r="G8" s="89" t="s">
        <v>917</v>
      </c>
      <c r="H8" s="90" t="s">
        <v>914</v>
      </c>
      <c r="I8" s="90" t="s">
        <v>915</v>
      </c>
      <c r="J8" s="72" t="str">
        <f aca="false">IF(COUNTIFS(Budget!$B$4:$B$107,$F8)&gt;0,"yes","NONE")</f>
        <v>yes</v>
      </c>
    </row>
    <row r="9" customFormat="false" ht="15" hidden="false" customHeight="false" outlineLevel="0" collapsed="false">
      <c r="B9" s="88" t="s">
        <v>238</v>
      </c>
      <c r="C9" s="89" t="s">
        <v>110</v>
      </c>
      <c r="D9" s="90" t="s">
        <v>918</v>
      </c>
      <c r="E9" s="91" t="n">
        <f aca="false">COUNTIFS(Staging!$C$4:$C$533,$B9)</f>
        <v>39</v>
      </c>
      <c r="F9" s="88" t="s">
        <v>147</v>
      </c>
      <c r="G9" s="89" t="s">
        <v>919</v>
      </c>
      <c r="H9" s="90" t="s">
        <v>920</v>
      </c>
      <c r="I9" s="90" t="s">
        <v>915</v>
      </c>
      <c r="J9" s="72" t="str">
        <f aca="false">IF(COUNTIFS(Budget!$B$4:$B$107,$F9)&gt;0,"yes","NONE")</f>
        <v>yes</v>
      </c>
    </row>
    <row r="10" customFormat="false" ht="15" hidden="false" customHeight="false" outlineLevel="0" collapsed="false">
      <c r="B10" s="88" t="s">
        <v>247</v>
      </c>
      <c r="C10" s="89" t="s">
        <v>110</v>
      </c>
      <c r="D10" s="90" t="s">
        <v>921</v>
      </c>
      <c r="E10" s="91" t="n">
        <f aca="false">COUNTIFS(Staging!$C$4:$C$533,$B10)</f>
        <v>27</v>
      </c>
      <c r="F10" s="88" t="s">
        <v>148</v>
      </c>
      <c r="G10" s="89" t="s">
        <v>922</v>
      </c>
      <c r="H10" s="90" t="s">
        <v>920</v>
      </c>
      <c r="I10" s="90" t="s">
        <v>915</v>
      </c>
      <c r="J10" s="72" t="str">
        <f aca="false">IF(COUNTIFS(Budget!$B$4:$B$107,$F10)&gt;0,"yes","NONE")</f>
        <v>yes</v>
      </c>
    </row>
    <row r="11" customFormat="false" ht="15" hidden="false" customHeight="false" outlineLevel="0" collapsed="false">
      <c r="B11" s="88" t="s">
        <v>259</v>
      </c>
      <c r="C11" s="89" t="s">
        <v>111</v>
      </c>
      <c r="D11" s="90" t="s">
        <v>923</v>
      </c>
      <c r="E11" s="91" t="n">
        <f aca="false">COUNTIFS(Staging!$C$4:$C$533,$B11)</f>
        <v>39</v>
      </c>
      <c r="F11" s="88" t="s">
        <v>149</v>
      </c>
      <c r="G11" s="89" t="s">
        <v>924</v>
      </c>
      <c r="H11" s="90" t="s">
        <v>925</v>
      </c>
      <c r="I11" s="90" t="s">
        <v>926</v>
      </c>
      <c r="J11" s="72" t="str">
        <f aca="false">IF(COUNTIFS(Budget!$B$4:$B$107,$F11)&gt;0,"yes","NONE")</f>
        <v>yes</v>
      </c>
    </row>
    <row r="12" customFormat="false" ht="15" hidden="false" customHeight="false" outlineLevel="0" collapsed="false">
      <c r="B12" s="88" t="s">
        <v>244</v>
      </c>
      <c r="C12" s="89" t="s">
        <v>111</v>
      </c>
      <c r="D12" s="90" t="s">
        <v>927</v>
      </c>
      <c r="E12" s="91" t="n">
        <f aca="false">COUNTIFS(Staging!$C$4:$C$533,$B12)</f>
        <v>45</v>
      </c>
      <c r="F12" s="88" t="s">
        <v>150</v>
      </c>
      <c r="G12" s="89" t="s">
        <v>928</v>
      </c>
      <c r="H12" s="90" t="s">
        <v>929</v>
      </c>
      <c r="I12" s="90" t="s">
        <v>930</v>
      </c>
      <c r="J12" s="72" t="str">
        <f aca="false">IF(COUNTIFS(Budget!$B$4:$B$107,$F12)&gt;0,"yes","NONE")</f>
        <v>yes</v>
      </c>
    </row>
    <row r="13" customFormat="false" ht="15" hidden="false" customHeight="false" outlineLevel="0" collapsed="false">
      <c r="B13" s="88" t="s">
        <v>241</v>
      </c>
      <c r="C13" s="89" t="s">
        <v>111</v>
      </c>
      <c r="D13" s="90" t="s">
        <v>931</v>
      </c>
      <c r="E13" s="91" t="n">
        <f aca="false">COUNTIFS(Staging!$C$4:$C$533,$B13)</f>
        <v>53</v>
      </c>
      <c r="F13" s="88" t="s">
        <v>151</v>
      </c>
      <c r="G13" s="89" t="s">
        <v>932</v>
      </c>
      <c r="H13" s="90" t="s">
        <v>933</v>
      </c>
      <c r="I13" s="90" t="s">
        <v>934</v>
      </c>
      <c r="J13" s="72" t="str">
        <f aca="false">IF(COUNTIFS(Budget!$B$4:$B$107,$F13)&gt;0,"yes","NONE")</f>
        <v>yes</v>
      </c>
    </row>
    <row r="14" customFormat="false" ht="15" hidden="false" customHeight="false" outlineLevel="0" collapsed="false">
      <c r="B14" s="88" t="s">
        <v>289</v>
      </c>
      <c r="C14" s="89" t="s">
        <v>111</v>
      </c>
      <c r="D14" s="90" t="s">
        <v>935</v>
      </c>
      <c r="E14" s="91" t="n">
        <f aca="false">COUNTIFS(Staging!$C$4:$C$533,$B14)</f>
        <v>40</v>
      </c>
      <c r="F14" s="88" t="s">
        <v>152</v>
      </c>
      <c r="G14" s="89" t="s">
        <v>936</v>
      </c>
      <c r="H14" s="90" t="s">
        <v>933</v>
      </c>
      <c r="I14" s="90" t="s">
        <v>934</v>
      </c>
      <c r="J14" s="72" t="str">
        <f aca="false">IF(COUNTIFS(Budget!$B$4:$B$107,$F14)&gt;0,"yes","NONE")</f>
        <v>yes</v>
      </c>
    </row>
    <row r="15" customFormat="false" ht="15" hidden="false" customHeight="false" outlineLevel="0" collapsed="false">
      <c r="B15" s="88" t="s">
        <v>227</v>
      </c>
      <c r="C15" s="89" t="s">
        <v>112</v>
      </c>
      <c r="D15" s="90" t="s">
        <v>112</v>
      </c>
      <c r="E15" s="91" t="n">
        <f aca="false">COUNTIFS(Staging!$C$4:$C$533,$B15)</f>
        <v>17</v>
      </c>
      <c r="F15" s="88" t="s">
        <v>153</v>
      </c>
      <c r="G15" s="89" t="s">
        <v>937</v>
      </c>
      <c r="H15" s="90" t="s">
        <v>938</v>
      </c>
      <c r="I15" s="90" t="s">
        <v>939</v>
      </c>
      <c r="J15" s="72" t="str">
        <f aca="false">IF(COUNTIFS(Budget!$B$4:$B$107,$F15)&gt;0,"yes","NONE")</f>
        <v>yes</v>
      </c>
    </row>
    <row r="16" customFormat="false" ht="15" hidden="false" customHeight="false" outlineLevel="0" collapsed="false">
      <c r="B16" s="88" t="s">
        <v>282</v>
      </c>
      <c r="C16" s="89" t="s">
        <v>112</v>
      </c>
      <c r="D16" s="90" t="s">
        <v>940</v>
      </c>
      <c r="E16" s="91" t="n">
        <f aca="false">COUNTIFS(Staging!$C$4:$C$533,$B16)</f>
        <v>7</v>
      </c>
      <c r="F16" s="88" t="s">
        <v>154</v>
      </c>
      <c r="G16" s="89" t="s">
        <v>941</v>
      </c>
      <c r="H16" s="90" t="s">
        <v>942</v>
      </c>
      <c r="I16" s="90" t="s">
        <v>943</v>
      </c>
      <c r="J16" s="72" t="str">
        <f aca="false">IF(COUNTIFS(Budget!$B$4:$B$107,$F16)&gt;0,"yes","NONE")</f>
        <v>yes</v>
      </c>
    </row>
    <row r="17" customFormat="false" ht="15" hidden="false" customHeight="false" outlineLevel="0" collapsed="false">
      <c r="B17" s="88" t="s">
        <v>223</v>
      </c>
      <c r="C17" s="89" t="s">
        <v>113</v>
      </c>
      <c r="D17" s="90" t="s">
        <v>944</v>
      </c>
      <c r="E17" s="91" t="n">
        <f aca="false">COUNTIFS(Staging!$C$4:$C$533,$B17)</f>
        <v>40</v>
      </c>
      <c r="F17" s="88" t="s">
        <v>155</v>
      </c>
      <c r="G17" s="89" t="s">
        <v>945</v>
      </c>
      <c r="H17" s="90" t="s">
        <v>946</v>
      </c>
      <c r="I17" s="90" t="s">
        <v>947</v>
      </c>
      <c r="J17" s="72" t="str">
        <f aca="false">IF(COUNTIFS(Budget!$B$4:$B$107,$F17)&gt;0,"yes","NONE")</f>
        <v>yes</v>
      </c>
    </row>
    <row r="18" customFormat="false" ht="15" hidden="false" customHeight="false" outlineLevel="0" collapsed="false">
      <c r="B18" s="88" t="s">
        <v>377</v>
      </c>
      <c r="C18" s="89" t="s">
        <v>114</v>
      </c>
      <c r="D18" s="90" t="s">
        <v>948</v>
      </c>
      <c r="E18" s="91" t="n">
        <f aca="false">COUNTIFS(Staging!$C$4:$C$533,$B18)</f>
        <v>6</v>
      </c>
      <c r="F18" s="88" t="s">
        <v>156</v>
      </c>
      <c r="G18" s="89" t="s">
        <v>949</v>
      </c>
      <c r="H18" s="90" t="s">
        <v>950</v>
      </c>
      <c r="I18" s="90" t="s">
        <v>947</v>
      </c>
      <c r="J18" s="72" t="str">
        <f aca="false">IF(COUNTIFS(Budget!$B$4:$B$107,$F18)&gt;0,"yes","NONE")</f>
        <v>NONE</v>
      </c>
    </row>
    <row r="19" customFormat="false" ht="15" hidden="false" customHeight="false" outlineLevel="0" collapsed="false">
      <c r="B19" s="88" t="s">
        <v>273</v>
      </c>
      <c r="C19" s="89" t="s">
        <v>114</v>
      </c>
      <c r="D19" s="90" t="s">
        <v>951</v>
      </c>
      <c r="E19" s="91" t="n">
        <f aca="false">COUNTIFS(Staging!$C$4:$C$533,$B19)</f>
        <v>9</v>
      </c>
    </row>
    <row r="20" customFormat="false" ht="15" hidden="false" customHeight="false" outlineLevel="0" collapsed="false">
      <c r="B20" s="88" t="s">
        <v>230</v>
      </c>
      <c r="C20" s="89" t="s">
        <v>115</v>
      </c>
      <c r="D20" s="90" t="s">
        <v>952</v>
      </c>
      <c r="E20" s="91" t="n">
        <f aca="false">COUNTIFS(Staging!$C$4:$C$533,$B20)</f>
        <v>15</v>
      </c>
    </row>
    <row r="21" customFormat="false" ht="15" hidden="false" customHeight="false" outlineLevel="0" collapsed="false">
      <c r="B21" s="88" t="s">
        <v>305</v>
      </c>
      <c r="C21" s="89" t="s">
        <v>115</v>
      </c>
      <c r="D21" s="90" t="s">
        <v>953</v>
      </c>
      <c r="E21" s="91" t="n">
        <f aca="false">COUNTIFS(Staging!$C$4:$C$533,$B21)</f>
        <v>19</v>
      </c>
    </row>
    <row r="22" customFormat="false" ht="15" hidden="false" customHeight="false" outlineLevel="0" collapsed="false">
      <c r="B22" s="88" t="s">
        <v>250</v>
      </c>
      <c r="C22" s="89" t="s">
        <v>115</v>
      </c>
      <c r="D22" s="90" t="s">
        <v>954</v>
      </c>
      <c r="E22" s="91" t="n">
        <f aca="false">COUNTIFS(Staging!$C$4:$C$533,$B22)</f>
        <v>18</v>
      </c>
    </row>
    <row r="23" customFormat="false" ht="15" hidden="false" customHeight="false" outlineLevel="0" collapsed="false">
      <c r="B23" s="88" t="s">
        <v>676</v>
      </c>
      <c r="C23" s="89" t="s">
        <v>116</v>
      </c>
      <c r="D23" s="90" t="s">
        <v>955</v>
      </c>
      <c r="E23" s="91" t="n">
        <f aca="false">COUNTIFS(Staging!$C$4:$C$533,$B23)</f>
        <v>3</v>
      </c>
    </row>
    <row r="24" customFormat="false" ht="15" hidden="false" customHeight="false" outlineLevel="0" collapsed="false">
      <c r="B24" s="88" t="s">
        <v>851</v>
      </c>
      <c r="C24" s="89" t="s">
        <v>116</v>
      </c>
      <c r="D24" s="90" t="s">
        <v>956</v>
      </c>
      <c r="E24" s="91" t="n">
        <f aca="false">COUNTIFS(Staging!$C$4:$C$533,$B24)</f>
        <v>1</v>
      </c>
    </row>
    <row r="25" customFormat="false" ht="15" hidden="false" customHeight="false" outlineLevel="0" collapsed="false">
      <c r="B25" s="88" t="s">
        <v>661</v>
      </c>
      <c r="C25" s="89" t="s">
        <v>117</v>
      </c>
      <c r="D25" s="90" t="s">
        <v>957</v>
      </c>
      <c r="E25" s="91" t="n">
        <f aca="false">COUNTIFS(Staging!$C$4:$C$533,$B25)</f>
        <v>13</v>
      </c>
    </row>
    <row r="26" customFormat="false" ht="15" hidden="false" customHeight="false" outlineLevel="0" collapsed="false">
      <c r="B26" s="88" t="s">
        <v>656</v>
      </c>
      <c r="C26" s="89" t="s">
        <v>117</v>
      </c>
      <c r="D26" s="90" t="s">
        <v>958</v>
      </c>
      <c r="E26" s="91" t="n">
        <f aca="false">COUNTIFS(Staging!$C$4:$C$533,$B26)</f>
        <v>5</v>
      </c>
    </row>
    <row r="27" customFormat="false" ht="15" hidden="false" customHeight="false" outlineLevel="0" collapsed="false">
      <c r="B27" s="88" t="s">
        <v>219</v>
      </c>
      <c r="C27" s="89" t="s">
        <v>118</v>
      </c>
      <c r="D27" s="90" t="s">
        <v>959</v>
      </c>
      <c r="E27" s="91" t="n">
        <f aca="false">COUNTIFS(Staging!$C$4:$C$533,$B27)</f>
        <v>7</v>
      </c>
    </row>
    <row r="28" customFormat="false" ht="15" hidden="false" customHeight="false" outlineLevel="0" collapsed="false">
      <c r="B28" s="88" t="s">
        <v>524</v>
      </c>
      <c r="C28" s="89" t="s">
        <v>118</v>
      </c>
      <c r="D28" s="90" t="s">
        <v>960</v>
      </c>
      <c r="E28" s="91" t="n">
        <f aca="false">COUNTIFS(Staging!$C$4:$C$533,$B28)</f>
        <v>7</v>
      </c>
    </row>
    <row r="29" customFormat="false" ht="15" hidden="false" customHeight="false" outlineLevel="0" collapsed="false">
      <c r="B29" s="88" t="s">
        <v>279</v>
      </c>
      <c r="C29" s="89" t="s">
        <v>118</v>
      </c>
      <c r="D29" s="90" t="s">
        <v>961</v>
      </c>
      <c r="E29" s="91" t="n">
        <f aca="false">COUNTIFS(Staging!$C$4:$C$533,$B29)</f>
        <v>7</v>
      </c>
    </row>
    <row r="30" customFormat="false" ht="15" hidden="false" customHeight="false" outlineLevel="0" collapsed="false">
      <c r="B30" s="88" t="s">
        <v>765</v>
      </c>
      <c r="C30" s="89" t="s">
        <v>119</v>
      </c>
      <c r="D30" s="90" t="s">
        <v>962</v>
      </c>
      <c r="E30" s="91" t="n">
        <f aca="false">COUNTIFS(Staging!$C$4:$C$533,$B30)</f>
        <v>10</v>
      </c>
    </row>
    <row r="31" customFormat="false" ht="15" hidden="false" customHeight="false" outlineLevel="0" collapsed="false">
      <c r="B31" s="88" t="s">
        <v>580</v>
      </c>
      <c r="C31" s="89" t="s">
        <v>119</v>
      </c>
      <c r="D31" s="90" t="s">
        <v>963</v>
      </c>
      <c r="E31" s="91" t="n">
        <f aca="false">COUNTIFS(Staging!$C$4:$C$533,$B31)</f>
        <v>10</v>
      </c>
    </row>
    <row r="32" customFormat="false" ht="15" hidden="false" customHeight="false" outlineLevel="0" collapsed="false">
      <c r="B32" s="88" t="s">
        <v>362</v>
      </c>
      <c r="C32" s="89" t="s">
        <v>120</v>
      </c>
      <c r="D32" s="90" t="s">
        <v>964</v>
      </c>
      <c r="E32" s="91" t="n">
        <f aca="false">COUNTIFS(Staging!$C$4:$C$533,$B32)</f>
        <v>8</v>
      </c>
    </row>
    <row r="33" customFormat="false" ht="15" hidden="false" customHeight="false" outlineLevel="0" collapsed="false">
      <c r="B33" s="88" t="s">
        <v>255</v>
      </c>
      <c r="C33" s="89" t="s">
        <v>120</v>
      </c>
      <c r="D33" s="90" t="s">
        <v>965</v>
      </c>
      <c r="E33" s="91" t="n">
        <f aca="false">COUNTIFS(Staging!$C$4:$C$533,$B33)</f>
        <v>7</v>
      </c>
    </row>
    <row r="34" customFormat="false" ht="15" hidden="false" customHeight="false" outlineLevel="0" collapsed="false">
      <c r="B34" s="88" t="s">
        <v>839</v>
      </c>
      <c r="C34" s="89" t="s">
        <v>121</v>
      </c>
      <c r="D34" s="90" t="s">
        <v>966</v>
      </c>
      <c r="E34" s="91" t="n">
        <f aca="false">COUNTIFS(Staging!$C$4:$C$533,$B34)</f>
        <v>2</v>
      </c>
    </row>
    <row r="35" customFormat="false" ht="15" hidden="false" customHeight="false" outlineLevel="0" collapsed="false">
      <c r="B35" s="88" t="s">
        <v>301</v>
      </c>
      <c r="C35" s="89" t="s">
        <v>122</v>
      </c>
      <c r="D35" s="90" t="s">
        <v>967</v>
      </c>
      <c r="E35" s="91" t="n">
        <f aca="false">COUNTIFS(Staging!$C$4:$C$533,$B35)</f>
        <v>12</v>
      </c>
    </row>
    <row r="36" customFormat="false" ht="15" hidden="false" customHeight="false" outlineLevel="0" collapsed="false">
      <c r="B36" s="88" t="s">
        <v>235</v>
      </c>
      <c r="C36" s="89" t="s">
        <v>122</v>
      </c>
      <c r="D36" s="90" t="s">
        <v>968</v>
      </c>
      <c r="E36" s="91" t="n">
        <f aca="false">COUNTIFS(Staging!$C$4:$C$533,$B36)</f>
        <v>9</v>
      </c>
    </row>
    <row r="37" customFormat="false" ht="15" hidden="false" customHeight="false" outlineLevel="0" collapsed="false">
      <c r="C37" s="84" t="s">
        <v>969</v>
      </c>
      <c r="D37" s="92" t="str">
        <f aca="false">COUNTA(B7:B36)&amp;" accounts"</f>
        <v>30 accounts</v>
      </c>
      <c r="E37" s="75" t="n">
        <f aca="false">SUM(E7:E36)</f>
        <v>527</v>
      </c>
    </row>
    <row r="39" customFormat="false" ht="39" hidden="false" customHeight="true" outlineLevel="0" collapsed="false">
      <c r="B39" s="93" t="str">
        <f aca="false">"Account 639500 is deliberately absent from this table. It is the account the manual pack had nowhere to put. The tool stages it, maps it to UNMAPPED so the control total still ties, and reports it as an exception."</f>
        <v>Account 639500 is deliberately absent from this table. It is the account the manual pack had nowhere to put. The tool stages it, maps it to UNMAPPED so the control total still ties, and reports it as an exception.</v>
      </c>
      <c r="C39" s="93"/>
      <c r="D39" s="93"/>
      <c r="E39" s="93"/>
    </row>
  </sheetData>
  <mergeCells count="5">
    <mergeCell ref="A1:J1"/>
    <mergeCell ref="A2:J2"/>
    <mergeCell ref="A5:E5"/>
    <mergeCell ref="F5:J5"/>
    <mergeCell ref="B39:E39"/>
  </mergeCells>
  <conditionalFormatting sqref="J7:J18">
    <cfRule type="expression" priority="2" aboveAverage="0" equalAverage="0" bottom="0" percent="0" rank="0" text="" dxfId="3">
      <formula>$J7="NONE"</formula>
    </cfRule>
  </conditionalFormatting>
  <printOptions headings="false" gridLines="false" gridLinesSet="true" horizontalCentered="false" verticalCentered="false"/>
  <pageMargins left="0.3" right="0.3" top="1" bottom="1" header="0.5" footer="0.5"/>
  <pageSetup paperSize="9" scale="100" fitToWidth="1" fitToHeight="0" pageOrder="downThenOver" orientation="landscape" blackAndWhite="false" draft="false" cellComments="none" horizontalDpi="300" verticalDpi="300" copies="1"/>
  <headerFooter differentFirst="false" differentOddEven="false">
    <oddHeader>&amp;L&amp;"Arial,Bold"&amp;9Halcyon Metalworks Kft.&amp;R&amp;"Arial,Regular"&amp;9Cost centre reporting tool v2.4</oddHeader>
    <oddFooter>&amp;L&amp;"Arial,Regular"&amp;8Illustrative sample, fictional data - prepared by Tarlan Charkasov, ACCA&amp;R&amp;"Arial,Regular"&amp;8Page &amp;P of &amp;N</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N14"/>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3"/>
    <col collapsed="false" customWidth="true" hidden="false" outlineLevel="0" max="2" min="2" style="0" width="17"/>
    <col collapsed="false" customWidth="true" hidden="false" outlineLevel="0" max="3" min="3" style="0" width="12"/>
    <col collapsed="false" customWidth="true" hidden="false" outlineLevel="0" max="7" min="4" style="0" width="10"/>
    <col collapsed="false" customWidth="true" hidden="false" outlineLevel="0" max="9" min="8" style="0" width="15"/>
    <col collapsed="false" customWidth="true" hidden="false" outlineLevel="0" max="10" min="10" style="0" width="12"/>
    <col collapsed="false" customWidth="true" hidden="false" outlineLevel="0" max="11" min="11" style="0" width="8"/>
    <col collapsed="false" customWidth="true" hidden="false" outlineLevel="0" max="12" min="12" style="0" width="9"/>
    <col collapsed="false" customWidth="true" hidden="false" outlineLevel="0" max="13" min="13" style="0" width="14"/>
    <col collapsed="false" customWidth="true" hidden="false" outlineLevel="0" max="14" min="14" style="0" width="42"/>
  </cols>
  <sheetData>
    <row r="1" customFormat="false" ht="24" hidden="false" customHeight="true" outlineLevel="0" collapsed="false">
      <c r="A1" s="18" t="s">
        <v>970</v>
      </c>
      <c r="B1" s="18"/>
      <c r="C1" s="18"/>
      <c r="D1" s="18"/>
      <c r="E1" s="18"/>
      <c r="F1" s="18"/>
      <c r="G1" s="18"/>
      <c r="H1" s="18"/>
      <c r="I1" s="18"/>
      <c r="J1" s="18"/>
      <c r="K1" s="18"/>
      <c r="L1" s="18"/>
      <c r="M1" s="18"/>
      <c r="N1" s="18"/>
    </row>
    <row r="2" customFormat="false" ht="15" hidden="false" customHeight="true" outlineLevel="0" collapsed="false">
      <c r="A2" s="19" t="s">
        <v>971</v>
      </c>
      <c r="B2" s="19"/>
      <c r="C2" s="19"/>
      <c r="D2" s="19"/>
      <c r="E2" s="19"/>
      <c r="F2" s="19"/>
      <c r="G2" s="19"/>
      <c r="H2" s="19"/>
      <c r="I2" s="19"/>
      <c r="J2" s="19"/>
      <c r="K2" s="19"/>
      <c r="L2" s="19"/>
      <c r="M2" s="19"/>
      <c r="N2" s="19"/>
    </row>
    <row r="7" customFormat="false" ht="33.75" hidden="false" customHeight="true" outlineLevel="0" collapsed="false">
      <c r="B7" s="11" t="s">
        <v>972</v>
      </c>
      <c r="C7" s="11" t="s">
        <v>973</v>
      </c>
      <c r="D7" s="11" t="s">
        <v>215</v>
      </c>
      <c r="E7" s="11" t="s">
        <v>974</v>
      </c>
      <c r="F7" s="11" t="s">
        <v>975</v>
      </c>
      <c r="G7" s="11" t="s">
        <v>976</v>
      </c>
      <c r="H7" s="11" t="s">
        <v>977</v>
      </c>
      <c r="I7" s="11" t="s">
        <v>978</v>
      </c>
      <c r="J7" s="11" t="s">
        <v>979</v>
      </c>
      <c r="K7" s="11" t="s">
        <v>980</v>
      </c>
      <c r="L7" s="11" t="s">
        <v>981</v>
      </c>
      <c r="M7" s="11" t="s">
        <v>96</v>
      </c>
      <c r="N7" s="11" t="s">
        <v>900</v>
      </c>
    </row>
    <row r="8" customFormat="false" ht="18" hidden="false" customHeight="true" outlineLevel="0" collapsed="false">
      <c r="B8" s="94" t="n">
        <v>46177.4642013889</v>
      </c>
      <c r="C8" s="95" t="s">
        <v>982</v>
      </c>
      <c r="D8" s="95" t="s">
        <v>983</v>
      </c>
      <c r="E8" s="91" t="n">
        <v>498</v>
      </c>
      <c r="F8" s="91" t="n">
        <v>498</v>
      </c>
      <c r="G8" s="91" t="s">
        <v>984</v>
      </c>
      <c r="H8" s="82" t="n">
        <v>1042118.44</v>
      </c>
      <c r="I8" s="82" t="n">
        <v>1042118.44</v>
      </c>
      <c r="J8" s="82" t="n">
        <f aca="false">H8-I8</f>
        <v>0</v>
      </c>
      <c r="K8" s="50" t="n">
        <v>12</v>
      </c>
      <c r="L8" s="96" t="n">
        <v>2.6</v>
      </c>
      <c r="M8" s="97" t="s">
        <v>226</v>
      </c>
      <c r="N8" s="73" t="s">
        <v>985</v>
      </c>
    </row>
    <row r="9" customFormat="false" ht="28.5" hidden="false" customHeight="true" outlineLevel="0" collapsed="false">
      <c r="B9" s="94" t="n">
        <v>46206.3833796296</v>
      </c>
      <c r="C9" s="95" t="s">
        <v>982</v>
      </c>
      <c r="D9" s="95" t="s">
        <v>77</v>
      </c>
      <c r="E9" s="91" t="s">
        <v>984</v>
      </c>
      <c r="F9" s="91" t="s">
        <v>984</v>
      </c>
      <c r="G9" s="91" t="s">
        <v>984</v>
      </c>
      <c r="H9" s="82"/>
      <c r="I9" s="82"/>
      <c r="J9" s="82" t="n">
        <f aca="false">H9-I9</f>
        <v>0</v>
      </c>
      <c r="K9" s="50" t="s">
        <v>984</v>
      </c>
      <c r="L9" s="96" t="n">
        <v>0</v>
      </c>
      <c r="M9" s="98" t="s">
        <v>986</v>
      </c>
      <c r="N9" s="73" t="s">
        <v>987</v>
      </c>
    </row>
    <row r="10" customFormat="false" ht="28.5" hidden="false" customHeight="true" outlineLevel="0" collapsed="false">
      <c r="B10" s="94" t="n">
        <v>46206.3900231482</v>
      </c>
      <c r="C10" s="95" t="s">
        <v>982</v>
      </c>
      <c r="D10" s="95" t="s">
        <v>77</v>
      </c>
      <c r="E10" s="91" t="n">
        <v>530</v>
      </c>
      <c r="F10" s="91" t="n">
        <v>530</v>
      </c>
      <c r="G10" s="91" t="n">
        <v>1</v>
      </c>
      <c r="H10" s="82" t="n">
        <v>1086005.18</v>
      </c>
      <c r="I10" s="82" t="n">
        <v>1086005.18</v>
      </c>
      <c r="J10" s="82" t="n">
        <f aca="false">H10-I10</f>
        <v>0</v>
      </c>
      <c r="K10" s="50" t="s">
        <v>984</v>
      </c>
      <c r="L10" s="96" t="n">
        <v>2.8</v>
      </c>
      <c r="M10" s="97" t="s">
        <v>988</v>
      </c>
      <c r="N10" s="73" t="s">
        <v>989</v>
      </c>
    </row>
    <row r="11" customFormat="false" ht="39" hidden="false" customHeight="true" outlineLevel="0" collapsed="false">
      <c r="B11" s="94" t="n">
        <v>46206.4487384259</v>
      </c>
      <c r="C11" s="95" t="s">
        <v>982</v>
      </c>
      <c r="D11" s="95" t="s">
        <v>77</v>
      </c>
      <c r="E11" s="91" t="n">
        <v>530</v>
      </c>
      <c r="F11" s="91" t="n">
        <v>530</v>
      </c>
      <c r="G11" s="91" t="n">
        <v>1</v>
      </c>
      <c r="H11" s="82" t="n">
        <v>1086005.18</v>
      </c>
      <c r="I11" s="82" t="n">
        <v>1086005.18</v>
      </c>
      <c r="J11" s="82" t="n">
        <f aca="false">H11-I11</f>
        <v>0</v>
      </c>
      <c r="K11" s="50" t="s">
        <v>984</v>
      </c>
      <c r="L11" s="96" t="n">
        <v>3.1</v>
      </c>
      <c r="M11" s="97" t="s">
        <v>988</v>
      </c>
      <c r="N11" s="73" t="s">
        <v>990</v>
      </c>
    </row>
    <row r="12" customFormat="false" ht="28.5" hidden="false" customHeight="true" outlineLevel="0" collapsed="false">
      <c r="B12" s="94" t="n">
        <v>46206.6047685185</v>
      </c>
      <c r="C12" s="95" t="s">
        <v>982</v>
      </c>
      <c r="D12" s="95" t="s">
        <v>77</v>
      </c>
      <c r="E12" s="91" t="n">
        <v>530</v>
      </c>
      <c r="F12" s="91" t="n">
        <f aca="false">COUNTA(Staging!$B$4:$B$533)</f>
        <v>530</v>
      </c>
      <c r="G12" s="91" t="n">
        <v>1</v>
      </c>
      <c r="H12" s="82" t="n">
        <v>1086005.18</v>
      </c>
      <c r="I12" s="82" t="n">
        <f aca="false">Staging!$H$534</f>
        <v>1086005.18</v>
      </c>
      <c r="J12" s="82" t="n">
        <f aca="false">H12-I12</f>
        <v>0</v>
      </c>
      <c r="K12" s="50" t="n">
        <v>12</v>
      </c>
      <c r="L12" s="96" t="n">
        <v>2.9</v>
      </c>
      <c r="M12" s="97" t="s">
        <v>226</v>
      </c>
      <c r="N12" s="73" t="s">
        <v>991</v>
      </c>
    </row>
    <row r="14" customFormat="false" ht="15" hidden="false" customHeight="false" outlineLevel="0" collapsed="false">
      <c r="B14" s="99" t="s">
        <v>992</v>
      </c>
      <c r="C14" s="99"/>
      <c r="D14" s="99"/>
      <c r="E14" s="99"/>
      <c r="F14" s="99"/>
      <c r="G14" s="99"/>
      <c r="H14" s="99"/>
      <c r="I14" s="99"/>
      <c r="J14" s="99"/>
      <c r="K14" s="99"/>
      <c r="L14" s="99"/>
      <c r="M14" s="99"/>
      <c r="N14" s="99"/>
    </row>
  </sheetData>
  <mergeCells count="3">
    <mergeCell ref="A1:N1"/>
    <mergeCell ref="A2:N2"/>
    <mergeCell ref="B14:N14"/>
  </mergeCells>
  <conditionalFormatting sqref="M8:M12">
    <cfRule type="expression" priority="2" aboveAverage="0" equalAverage="0" bottom="0" percent="0" rank="0" text="" dxfId="3">
      <formula>$M8="FAILED"</formula>
    </cfRule>
  </conditionalFormatting>
  <printOptions headings="false" gridLines="false" gridLinesSet="true" horizontalCentered="false" verticalCentered="false"/>
  <pageMargins left="0.3" right="0.3" top="1" bottom="1" header="0.5" footer="0.5"/>
  <pageSetup paperSize="9" scale="100" fitToWidth="1" fitToHeight="0" pageOrder="downThenOver" orientation="landscape" blackAndWhite="false" draft="false" cellComments="none" horizontalDpi="300" verticalDpi="300" copies="1"/>
  <headerFooter differentFirst="false" differentOddEven="false">
    <oddHeader>&amp;L&amp;"Arial,Bold"&amp;9Halcyon Metalworks Kft.&amp;R&amp;"Arial,Regular"&amp;9Cost centre reporting tool v2.4</oddHeader>
    <oddFooter>&amp;L&amp;"Arial,Regular"&amp;8Illustrative sample, fictional data - prepared by Tarlan Charkasov, ACCA&amp;R&amp;"Arial,Regular"&amp;8Page &amp;P of &amp;N</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LibreOffice/24.2.7.2$Linux_X86_64 LibreOffice_project/420$Build-2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2026-07-27T19:42:59Z</dcterms:created>
  <dc:creator>openpyxl</dc:creator>
  <dc:description/>
  <dc:language>en-US</dc:language>
  <cp:lastModifiedBy/>
  <dcterms:modified xsi:type="dcterms:W3CDTF">2026-07-27T19:43:00Z</dcterms:modified>
  <cp:revision>0</cp:revision>
  <dc:subject/>
  <dc:title/>
</cp:coreProperties>
</file>

<file path=docProps/custom.xml><?xml version="1.0" encoding="utf-8"?>
<Properties xmlns="http://schemas.openxmlformats.org/officeDocument/2006/custom-properties" xmlns:vt="http://schemas.openxmlformats.org/officeDocument/2006/docPropsVTypes"/>
</file>