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comments3.xml" ContentType="application/vnd.openxmlformats-officedocument.spreadsheetml.comment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8.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drawings/vmlDrawing1.vml" ContentType="application/vnd.openxmlformats-officedocument.vmlDrawing"/>
  <Override PartName="/xl/drawings/vmlDrawing2.vml" ContentType="application/vnd.openxmlformats-officedocument.vmlDrawing"/>
  <Override PartName="/xl/charts/chart1.xml" ContentType="application/vnd.openxmlformats-officedocument.drawingml.chart+xml"/>
  <Override PartName="/xl/charts/chart2.xml" ContentType="application/vnd.openxmlformats-officedocument.drawingml.chart+xml"/>
  <Override PartName="/xl/comments8.xml" ContentType="application/vnd.openxmlformats-officedocument.spreadsheetml.comment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Summary" sheetId="2" state="visible" r:id="rId4"/>
    <sheet name="Appraisal" sheetId="3" state="visible" r:id="rId5"/>
    <sheet name="Benefits Build" sheetId="4" state="visible" r:id="rId6"/>
    <sheet name="Costs &amp; Capex" sheetId="5" state="visible" r:id="rId7"/>
    <sheet name="Scenarios" sheetId="6" state="visible" r:id="rId8"/>
    <sheet name="WACC" sheetId="7" state="visible" r:id="rId9"/>
    <sheet name="Assumptions" sheetId="8" state="visible" r:id="rId10"/>
    <sheet name="Checks" sheetId="9" state="visible" r:id="rId11"/>
  </sheets>
  <definedNames>
    <definedName function="false" hidden="false" localSheetId="2" name="_xlnm.Print_Area" vbProcedure="false">Appraisal!$A$1:$L$42</definedName>
    <definedName function="false" hidden="false" localSheetId="2" name="_xlnm.Print_Titles" vbProcedure="false">Appraisal!$1:$6</definedName>
    <definedName function="false" hidden="false" localSheetId="7" name="_xlnm.Print_Area" vbProcedure="false">Assumptions!$A$1:$D$43</definedName>
    <definedName function="false" hidden="false" localSheetId="3" name="_xlnm.Print_Area" vbProcedure="false">'Benefits Build'!$A$1:$J$34</definedName>
    <definedName function="false" hidden="false" localSheetId="8" name="_xlnm.Print_Area" vbProcedure="false">Checks!$A$1:$G$23</definedName>
    <definedName function="false" hidden="false" localSheetId="4" name="_xlnm.Print_Area" vbProcedure="false">'Costs &amp; Capex'!$A$1:$H$29</definedName>
    <definedName function="false" hidden="false" localSheetId="0" name="_xlnm.Print_Area" vbProcedure="false">Cover!$A$1:$F$40</definedName>
    <definedName function="false" hidden="false" localSheetId="5" name="_xlnm.Print_Area" vbProcedure="false">Scenarios!$A$1:$K$147</definedName>
    <definedName function="false" hidden="false" localSheetId="1" name="_xlnm.Print_Area" vbProcedure="false">Summary!$A$1:$P$72</definedName>
    <definedName function="false" hidden="false" localSheetId="6" name="_xlnm.Print_Area" vbProcedure="false">WACC!$A$1:$D$25</definedName>
  </definedNames>
  <calcPr iterateCount="100" refMode="A1" iterate="false" iterateDelta="0.0001"/>
  <extLst>
    <ext xmlns:loext="http://schemas.libreoffice.org/" uri="{7626C862-2A13-11E5-B345-FEFF819CDC9F}">
      <loext:extCalcPr stringRefSyntax="ExcelA1"/>
    </ext>
  </extLst>
</workbook>
</file>

<file path=xl/comments3.xml><?xml version="1.0" encoding="utf-8"?>
<comments xmlns="http://schemas.openxmlformats.org/spreadsheetml/2006/main" xmlns:xdr="http://schemas.openxmlformats.org/drawingml/2006/spreadsheetDrawing">
  <authors>
    <author>Unknown Author</author>
  </authors>
  <commentList>
    <comment ref="B26" authorId="0">
      <text>
        <r>
          <rPr>
            <sz val="10"/>
            <rFont val="Arial"/>
            <family val="2"/>
          </rPr>
          <t xml:space="preserve">Financing cash flows are deliberately absent. The project is discounted at the WACC, which already carries the cost of the debt that funds it.</t>
        </r>
      </text>
    </comment>
  </commentList>
</comments>
</file>

<file path=xl/comments8.xml><?xml version="1.0" encoding="utf-8"?>
<comments xmlns="http://schemas.openxmlformats.org/spreadsheetml/2006/main" xmlns:xdr="http://schemas.openxmlformats.org/drawingml/2006/spreadsheetDrawing">
  <authors>
    <author>Unknown Author</author>
  </authors>
  <commentList>
    <comment ref="B7" authorId="0">
      <text>
        <r>
          <rPr>
            <sz val="10"/>
            <rFont val="Arial"/>
            <family val="2"/>
          </rPr>
          <t xml:space="preserve">Mid year discounting is the default. The cash flows arise through the year, not on 31 December, and an end of year convention understates the net present value by about a year's worth of half a discount period.</t>
        </r>
      </text>
    </comment>
  </commentList>
</comments>
</file>

<file path=xl/sharedStrings.xml><?xml version="1.0" encoding="utf-8"?>
<sst xmlns="http://schemas.openxmlformats.org/spreadsheetml/2006/main" count="730" uniqueCount="462">
  <si>
    <t xml:space="preserve">HALCYON METALWORKS KFT.</t>
  </si>
  <si>
    <t xml:space="preserve">CAPITAL INVESTMENT APPRAISAL</t>
  </si>
  <si>
    <t xml:space="preserve">5-axis machining centre, programme P-4471  |  ten year incremental cash flow  |  EUR '000</t>
  </si>
  <si>
    <t xml:space="preserve">Illustrative portfolio sample - fictional company and fictional data</t>
  </si>
  <si>
    <t xml:space="preserve">Prepared by</t>
  </si>
  <si>
    <t xml:space="preserve">Tarlan Charkasov, ACCA</t>
  </si>
  <si>
    <t xml:space="preserve">Appraisal date</t>
  </si>
  <si>
    <t xml:space="preserve">For</t>
  </si>
  <si>
    <t xml:space="preserve">July capital committee</t>
  </si>
  <si>
    <t xml:space="preserve">Decision requested</t>
  </si>
  <si>
    <t xml:space="preserve">Conditional approval</t>
  </si>
  <si>
    <t xml:space="preserve">THE QUESTION, IN ONE PARAGRAPH</t>
  </si>
  <si>
    <t xml:space="preserve">Halcyon Metalworks has a signed quotation for a five-axis machining centre at EUR 1,550k, and a total project cost of EUR 1,830k once installation, tooling, training and system integration are included. Two things are meant to pay for it: bringing complex machining back in from subcontractors, and a transmission housing platform that Nordwerk has put out to quotation but has not yet awarded. The committee asked whether the investment stands up, at what point it stops standing up, and what would have to be true for a yes. This pack answers all three, and it says no as scoped.</t>
  </si>
  <si>
    <t xml:space="preserve">CONTENTS</t>
  </si>
  <si>
    <t xml:space="preserve">Tab</t>
  </si>
  <si>
    <t xml:space="preserve">What it does</t>
  </si>
  <si>
    <t xml:space="preserve">Summary</t>
  </si>
  <si>
    <t xml:space="preserve">The recommendation, six appraisal metrics, the three conditions, the cash profile, scenario results and risks.</t>
  </si>
  <si>
    <t xml:space="preserve">Appraisal</t>
  </si>
  <si>
    <t xml:space="preserve">The ten year incremental cash flow, discounting, and the appraisal metrics: NPV, IRR, MIRR, payback and profitability index.</t>
  </si>
  <si>
    <t xml:space="preserve">Benefits Build</t>
  </si>
  <si>
    <t xml:space="preserve">Every benefit built from volumes, cycle times, hours and rates, plus the capacity check that both streams must pass.</t>
  </si>
  <si>
    <t xml:space="preserve">Costs &amp; Capex</t>
  </si>
  <si>
    <t xml:space="preserve">Capital cost and payment milestones, incremental operating cost, depreciation and residual value.</t>
  </si>
  <si>
    <t xml:space="preserve">Scenarios</t>
  </si>
  <si>
    <t xml:space="preserve">Twelve live runs, each a full re-computation, plus three break even calculations.</t>
  </si>
  <si>
    <t xml:space="preserve">WACC</t>
  </si>
  <si>
    <t xml:space="preserve">The discount rate, built from a euro risk free rate and a country risk premium, with the reason no project premium is added.</t>
  </si>
  <si>
    <t xml:space="preserve">Assumptions</t>
  </si>
  <si>
    <t xml:space="preserve">Every input with its source, the control panel, and the benefits deliberately excluded from the case.</t>
  </si>
  <si>
    <t xml:space="preserve">Checks</t>
  </si>
  <si>
    <t xml:space="preserve">Sixteen integrity checks. The paper does not go to the committee until all sixteen read OK.</t>
  </si>
  <si>
    <t xml:space="preserve">HOW TO DRIVE IT</t>
  </si>
  <si>
    <t xml:space="preserve">Change the discount convention</t>
  </si>
  <si>
    <t xml:space="preserve">One cell on the Assumptions tab switches between end of year and mid year discounting.</t>
  </si>
  <si>
    <t xml:space="preserve">Test a benefit</t>
  </si>
  <si>
    <t xml:space="preserve">Change a volume, a cycle time or a rate on the Benefits Build tab. Nothing is entered as a lump sum.</t>
  </si>
  <si>
    <t xml:space="preserve">Run a scenario</t>
  </si>
  <si>
    <t xml:space="preserve">The twelve runs on the Scenarios tab are live. Change a parameter on any row and that run re-computes.</t>
  </si>
  <si>
    <t xml:space="preserve">Check before issuing</t>
  </si>
  <si>
    <t xml:space="preserve">Open the Checks tab. Sixteen OKs, or find out why not.</t>
  </si>
  <si>
    <t xml:space="preserve">CONVENTIONS</t>
  </si>
  <si>
    <t xml:space="preserve">Blue figures</t>
  </si>
  <si>
    <t xml:space="preserve">Inputs. The only cells intended to be typed over.</t>
  </si>
  <si>
    <t xml:space="preserve">Green figures</t>
  </si>
  <si>
    <t xml:space="preserve">Links to another tab.</t>
  </si>
  <si>
    <t xml:space="preserve">Black figures</t>
  </si>
  <si>
    <t xml:space="preserve">Calculated on the tab you are looking at.</t>
  </si>
  <si>
    <t xml:space="preserve">Signs</t>
  </si>
  <si>
    <t xml:space="preserve">Cash in positive, cash out negative, on the cash flow section of the Appraisal tab.</t>
  </si>
  <si>
    <t xml:space="preserve">Financing</t>
  </si>
  <si>
    <t xml:space="preserve">Excluded. The project is discounted at the WACC, so interest and repayments must not also appear in the cash flows.</t>
  </si>
  <si>
    <t xml:space="preserve">DISCLAIMER.  A work sample. Halcyon Metalworks Kft. is a fictional company; the machine, the quotation, the platform award, the part families, the rates and the capital structure are invented to demonstrate structure, controls and commercial reasoning. No client data of any kind appears in this workbook. Prepared by Tarlan Charkasov, ACCA.</t>
  </si>
  <si>
    <t xml:space="preserve">HALCYON METALWORKS KFT.  -  CAPITAL INVESTMENT APPRAISAL</t>
  </si>
  <si>
    <t xml:space="preserve">NET PRESENT VALUE AT WACC</t>
  </si>
  <si>
    <t xml:space="preserve">INTERNAL RATE OF RETURN</t>
  </si>
  <si>
    <t xml:space="preserve">NPV AT THE GROUP HURDLE RATE</t>
  </si>
  <si>
    <t xml:space="preserve">PAYBACK, UNDISCOUNTED</t>
  </si>
  <si>
    <t xml:space="preserve">SHARE OF THE BENEFIT FROM ONE PLATFORM</t>
  </si>
  <si>
    <t xml:space="preserve">MANAGEMENT CASE NPV</t>
  </si>
  <si>
    <t xml:space="preserve">RECOMMENDATION</t>
  </si>
  <si>
    <t xml:space="preserve">THE THREE CONDITIONS</t>
  </si>
  <si>
    <t xml:space="preserve">1   A signed nomination from Nordwerk before milestone 2 is released</t>
  </si>
  <si>
    <t xml:space="preserve">2   The 5% capital reduction closed out in the final negotiation</t>
  </si>
  <si>
    <t xml:space="preserve">3   The second and third shifts committed by operations</t>
  </si>
  <si>
    <t xml:space="preserve">CUMULATIVE DISCOUNTED CASH FLOW</t>
  </si>
  <si>
    <t xml:space="preserve">NET PRESENT VALUE BY SCENARIO</t>
  </si>
  <si>
    <t xml:space="preserve">WHAT THE NUMBERS SAY</t>
  </si>
  <si>
    <t xml:space="preserve">RISKS</t>
  </si>
  <si>
    <t xml:space="preserve">Single customer concentration</t>
  </si>
  <si>
    <t xml:space="preserve">The platform that carries the case is the customer that already takes 21% of revenue. Approving on this basis increases dependence on one buyer's call-offs.</t>
  </si>
  <si>
    <t xml:space="preserve">High</t>
  </si>
  <si>
    <t xml:space="preserve">Subcontractor response</t>
  </si>
  <si>
    <t xml:space="preserve">Insourcing 2,000 machine hours will provoke a rate response. Run 6 prices a 25% reduction in the saving.</t>
  </si>
  <si>
    <t xml:space="preserve">Medium</t>
  </si>
  <si>
    <t xml:space="preserve">Utilisation</t>
  </si>
  <si>
    <t xml:space="preserve">The case needs both streams on one spindle. Any breakdown, qualification delay or shift shortfall takes benefit out, not cost.</t>
  </si>
  <si>
    <t xml:space="preserve">Residual value</t>
  </si>
  <si>
    <t xml:space="preserve">Set equal to written down value, so no gain is assumed. A five-axis machine of this class is liquid, but the assumption is not a source of value in this case.</t>
  </si>
  <si>
    <t xml:space="preserve">Low</t>
  </si>
  <si>
    <t xml:space="preserve">Illustrative sample built on fictional data for portfolio purposes. Halcyon Metalworks Kft. is not a real company and no client information is used anywhere in this file.</t>
  </si>
  <si>
    <t xml:space="preserve">INCREMENTAL CASH FLOW AND APPRAISAL</t>
  </si>
  <si>
    <t xml:space="preserve">Halcyon Metalworks Kft.  |  5-axis machining centre, programme P-4471  |  EUR '000  |  incremental cash flows only, financing excluded, discounted at the WACC on the WACC tab</t>
  </si>
  <si>
    <t xml:space="preserve">Financial year</t>
  </si>
  <si>
    <t xml:space="preserve">FY2026</t>
  </si>
  <si>
    <t xml:space="preserve">FY2027</t>
  </si>
  <si>
    <t xml:space="preserve">FY2028</t>
  </si>
  <si>
    <t xml:space="preserve">FY2029</t>
  </si>
  <si>
    <t xml:space="preserve">FY2030</t>
  </si>
  <si>
    <t xml:space="preserve">FY2031</t>
  </si>
  <si>
    <t xml:space="preserve">FY2032</t>
  </si>
  <si>
    <t xml:space="preserve">FY2033</t>
  </si>
  <si>
    <t xml:space="preserve">FY2034</t>
  </si>
  <si>
    <t xml:space="preserve">FY2035</t>
  </si>
  <si>
    <t xml:space="preserve">Total</t>
  </si>
  <si>
    <t xml:space="preserve">Year index</t>
  </si>
  <si>
    <t xml:space="preserve">Discount period t</t>
  </si>
  <si>
    <t xml:space="preserve">BENEFIT</t>
  </si>
  <si>
    <t xml:space="preserve">New platform revenue</t>
  </si>
  <si>
    <t xml:space="preserve">New platform contribution</t>
  </si>
  <si>
    <t xml:space="preserve">Subcontract insourcing, net saving</t>
  </si>
  <si>
    <t xml:space="preserve">Scrap and rework reduction</t>
  </si>
  <si>
    <t xml:space="preserve">Incremental operating cost</t>
  </si>
  <si>
    <t xml:space="preserve">Net EBITDA benefit</t>
  </si>
  <si>
    <t xml:space="preserve">TAX</t>
  </si>
  <si>
    <t xml:space="preserve">Depreciation, non-cash</t>
  </si>
  <si>
    <t xml:space="preserve">Incremental taxable profit</t>
  </si>
  <si>
    <t xml:space="preserve">Corporate income tax</t>
  </si>
  <si>
    <t xml:space="preserve">FREE CASH FLOW</t>
  </si>
  <si>
    <t xml:space="preserve">Capital expenditure</t>
  </si>
  <si>
    <t xml:space="preserve">Mid-life overhaul</t>
  </si>
  <si>
    <t xml:space="preserve">Working capital</t>
  </si>
  <si>
    <t xml:space="preserve">Free cash flow</t>
  </si>
  <si>
    <t xml:space="preserve">DISCOUNTING</t>
  </si>
  <si>
    <t xml:space="preserve">Discount factor</t>
  </si>
  <si>
    <t xml:space="preserve">Present value</t>
  </si>
  <si>
    <t xml:space="preserve">Cumulative present value</t>
  </si>
  <si>
    <t xml:space="preserve">Cumulative cash flow, undiscounted</t>
  </si>
  <si>
    <t xml:space="preserve">APPRAISAL</t>
  </si>
  <si>
    <t xml:space="preserve">Net present value at the WACC</t>
  </si>
  <si>
    <t xml:space="preserve">Sum of the present value row. The single number the committee is being asked to accept or reject.</t>
  </si>
  <si>
    <t xml:space="preserve">Net present value at the group hurdle rate</t>
  </si>
  <si>
    <t xml:space="preserve">The same cash flows discounted at the hurdle rate.</t>
  </si>
  <si>
    <t xml:space="preserve">Internal rate of return</t>
  </si>
  <si>
    <t xml:space="preserve">One sign change in the cash flows, so the internal rate of return is unique.</t>
  </si>
  <si>
    <t xml:space="preserve">Modified internal rate of return</t>
  </si>
  <si>
    <t xml:space="preserve">Finance and reinvestment both at the WACC, which removes the reinvestment assumption built into the IRR.</t>
  </si>
  <si>
    <t xml:space="preserve">Payback, undiscounted</t>
  </si>
  <si>
    <t xml:space="preserve">Years from the first outflow, interpolated within the year of recovery.</t>
  </si>
  <si>
    <t xml:space="preserve">Payback, discounted</t>
  </si>
  <si>
    <t xml:space="preserve">The same test after charging the cost of capital.</t>
  </si>
  <si>
    <t xml:space="preserve">Profitability index</t>
  </si>
  <si>
    <t xml:space="preserve">Net present value per euro of capital. Below 1.00 means the project does not return its cost.</t>
  </si>
  <si>
    <t xml:space="preserve">Benefit concentration: platform share of gross benefit</t>
  </si>
  <si>
    <t xml:space="preserve">How much of the case rests on one thing. This is the number that decides how the recommendation is written.</t>
  </si>
  <si>
    <t xml:space="preserve">Payback is measured from FY2026, the year of the first capital payment.</t>
  </si>
  <si>
    <t xml:space="preserve">BENEFITS BUILD</t>
  </si>
  <si>
    <t xml:space="preserve">Halcyon Metalworks Kft.  |  every benefit is built from volumes, hours and rates. Nothing on this tab is a single entered number.</t>
  </si>
  <si>
    <t xml:space="preserve">1   INSOURCING OF COMPLEX MACHINING CURRENTLY PLACED WITH SUBCONTRACTORS</t>
  </si>
  <si>
    <t xml:space="preserve">Part family</t>
  </si>
  <si>
    <t xml:space="preserve">Annual volume</t>
  </si>
  <si>
    <t xml:space="preserve">Cycle time</t>
  </si>
  <si>
    <t xml:space="preserve">Machine hours</t>
  </si>
  <si>
    <t xml:space="preserve">Subcontract rate</t>
  </si>
  <si>
    <t xml:space="preserve">Subcontract spend</t>
  </si>
  <si>
    <t xml:space="preserve">Internal cost</t>
  </si>
  <si>
    <t xml:space="preserve">Net saving</t>
  </si>
  <si>
    <t xml:space="preserve">Basis</t>
  </si>
  <si>
    <t xml:space="preserve">HM-2140 suspension bracket</t>
  </si>
  <si>
    <t xml:space="preserve">Galvanik Nyugat, 2026 price list, free issue material.</t>
  </si>
  <si>
    <t xml:space="preserve">HM-2210 pump housing</t>
  </si>
  <si>
    <t xml:space="preserve">Two subcontractors, average of the 2026 rates.</t>
  </si>
  <si>
    <t xml:space="preserve">HM-3080 hydraulic manifold</t>
  </si>
  <si>
    <t xml:space="preserve">Single source. The five-axis content is the reason it is outside.</t>
  </si>
  <si>
    <t xml:space="preserve">HM-3120 mounting flange</t>
  </si>
  <si>
    <t xml:space="preserve">Highest volume, lowest complexity, lowest rate.</t>
  </si>
  <si>
    <t xml:space="preserve">Insourcing, steady state</t>
  </si>
  <si>
    <t xml:space="preserve">The saving is the subcontractor's margin and handling, not the whole of the subcontract spend. The material is free issued today and stays with us either way.</t>
  </si>
  <si>
    <t xml:space="preserve">2   NEW PLATFORM AWARD, NORDWERK TRANSMISSION HOUSINGS (NOT YET NOMINATED)</t>
  </si>
  <si>
    <t xml:space="preserve">Line</t>
  </si>
  <si>
    <t xml:space="preserve">Per unit EUR</t>
  </si>
  <si>
    <t xml:space="preserve">Annual EUR '000</t>
  </si>
  <si>
    <t xml:space="preserve">Selling price</t>
  </si>
  <si>
    <t xml:space="preserve">RFQ 2026-118, price valid to 31-Dec-2028, then 1.5% annual give back.</t>
  </si>
  <si>
    <t xml:space="preserve">Material and purchased parts</t>
  </si>
  <si>
    <t xml:space="preserve">Aluminium billet at the current framework price plus purchased inserts.</t>
  </si>
  <si>
    <t xml:space="preserve">Machining conversion</t>
  </si>
  <si>
    <t xml:space="preserve">Machine hours at the internal conversion rate. Calculated, not quoted.</t>
  </si>
  <si>
    <t xml:space="preserve">Other variable cost</t>
  </si>
  <si>
    <t xml:space="preserve">Packaging, freight to Wolfsburg, and warranty provision at 0.4%.</t>
  </si>
  <si>
    <t xml:space="preserve">Contribution</t>
  </si>
  <si>
    <t xml:space="preserve">Contribution, not gross margin: no fixed overhead is absorbed into it, because none of it changes.</t>
  </si>
  <si>
    <t xml:space="preserve">pieces per year, RFQ quantity</t>
  </si>
  <si>
    <t xml:space="preserve">Cycle time per piece</t>
  </si>
  <si>
    <t xml:space="preserve">machine hours a year on the new platform</t>
  </si>
  <si>
    <t xml:space="preserve">3   SCRAP AND REWORK REDUCTION FROM SINGLE SETUP MACHINING</t>
  </si>
  <si>
    <t xml:space="preserve">Driver</t>
  </si>
  <si>
    <t xml:space="preserve">Value</t>
  </si>
  <si>
    <t xml:space="preserve">Revenue on affected part families</t>
  </si>
  <si>
    <t xml:space="preserve">The four families listed in section 1 plus the new platform.</t>
  </si>
  <si>
    <t xml:space="preserve">Scrap and rework, current</t>
  </si>
  <si>
    <t xml:space="preserve">12-month actual on those families, from the quality system.</t>
  </si>
  <si>
    <t xml:space="preserve">Scrap and rework, achievable</t>
  </si>
  <si>
    <t xml:space="preserve">Three re-fixturing operations removed. The target is the plant's own figure for parts already machined in one setup.</t>
  </si>
  <si>
    <t xml:space="preserve">Scrap reduction benefit</t>
  </si>
  <si>
    <t xml:space="preserve">Only the material and conversion content of the scrap is claimed. No credit is taken for the capacity the scrap consumed.</t>
  </si>
  <si>
    <t xml:space="preserve">4   CAPACITY CHECK</t>
  </si>
  <si>
    <t xml:space="preserve">Machine hours available</t>
  </si>
  <si>
    <t xml:space="preserve">Assumptions tab.</t>
  </si>
  <si>
    <t xml:space="preserve">Hours required, insourcing</t>
  </si>
  <si>
    <t xml:space="preserve">Section 1.</t>
  </si>
  <si>
    <t xml:space="preserve">Hours required, new platform</t>
  </si>
  <si>
    <t xml:space="preserve">Section 2.</t>
  </si>
  <si>
    <t xml:space="preserve">Utilisation of available hours</t>
  </si>
  <si>
    <t xml:space="preserve">Both benefit streams have to fit on one machine. If they do not, the case is arithmetic rather than commercial, and it fails here rather than at the end.</t>
  </si>
  <si>
    <t xml:space="preserve">CAPITAL COST, MILESTONES AND INCREMENTAL OPERATING COST</t>
  </si>
  <si>
    <t xml:space="preserve">Halcyon Metalworks Kft.  |  EUR '000</t>
  </si>
  <si>
    <t xml:space="preserve">1   CAPITAL COST AND PAYMENT MILESTONES</t>
  </si>
  <si>
    <t xml:space="preserve">Item</t>
  </si>
  <si>
    <t xml:space="preserve">Amount</t>
  </si>
  <si>
    <t xml:space="preserve">Payment date</t>
  </si>
  <si>
    <t xml:space="preserve">FY</t>
  </si>
  <si>
    <t xml:space="preserve">% of contract</t>
  </si>
  <si>
    <t xml:space="preserve">In the 13-week forecast?</t>
  </si>
  <si>
    <t xml:space="preserve">Machine, milestone 1 - order confirmation</t>
  </si>
  <si>
    <t xml:space="preserve">20%</t>
  </si>
  <si>
    <t xml:space="preserve">yes</t>
  </si>
  <si>
    <t xml:space="preserve">Paid on order confirmation. Appears in week 4 of the 13-week cash flow forecast.</t>
  </si>
  <si>
    <t xml:space="preserve">Machine, milestone 2 - delivery and acceptance</t>
  </si>
  <si>
    <t xml:space="preserve">50%</t>
  </si>
  <si>
    <t xml:space="preserve">The single largest controllable outflow in the 13-week window, and the driver of the week 11 liquidity trough.</t>
  </si>
  <si>
    <t xml:space="preserve">Machine, milestone 3 - FAT sign off</t>
  </si>
  <si>
    <t xml:space="preserve">30%</t>
  </si>
  <si>
    <t xml:space="preserve">no</t>
  </si>
  <si>
    <t xml:space="preserve">Falls outside the 13-week window.</t>
  </si>
  <si>
    <t xml:space="preserve">Installation and commissioning</t>
  </si>
  <si>
    <t xml:space="preserve">Foundation, power and extraction.</t>
  </si>
  <si>
    <t xml:space="preserve">Tooling, fixtures and probing</t>
  </si>
  <si>
    <t xml:space="preserve">First set of tooling and workholding.</t>
  </si>
  <si>
    <t xml:space="preserve">Operator training</t>
  </si>
  <si>
    <t xml:space="preserve">Four operators at the vendor academy.</t>
  </si>
  <si>
    <t xml:space="preserve">MES and quality integration</t>
  </si>
  <si>
    <t xml:space="preserve">Machine data capture and SPC feeds.</t>
  </si>
  <si>
    <t xml:space="preserve">Total capital cost</t>
  </si>
  <si>
    <t xml:space="preserve">Agrees to the capital cost block on the Assumptions tab.</t>
  </si>
  <si>
    <t xml:space="preserve">of which falls in FY2026</t>
  </si>
  <si>
    <t xml:space="preserve">and in FY2027</t>
  </si>
  <si>
    <t xml:space="preserve">2   INCREMENTAL OPERATING COST</t>
  </si>
  <si>
    <t xml:space="preserve">Rate</t>
  </si>
  <si>
    <t xml:space="preserve">Maintenance contract</t>
  </si>
  <si>
    <t xml:space="preserve">Full service, from year two</t>
  </si>
  <si>
    <t xml:space="preserve">Year one is under warranty. The model charges it from FY2028, which is the first full year off warranty.</t>
  </si>
  <si>
    <t xml:space="preserve">Energy, net of the machines it replaces</t>
  </si>
  <si>
    <t xml:space="preserve">Spindle load and auxiliaries</t>
  </si>
  <si>
    <t xml:space="preserve">Higher installed power, fewer setups. Net of the three older machines it displaces.</t>
  </si>
  <si>
    <t xml:space="preserve">Consumables and replacement tooling</t>
  </si>
  <si>
    <t xml:space="preserve">Per machine hour</t>
  </si>
  <si>
    <t xml:space="preserve">Higher specification inserts for five-axis work, at the hours in the capacity check.</t>
  </si>
  <si>
    <t xml:space="preserve">Insurance and property tax</t>
  </si>
  <si>
    <t xml:space="preserve">On capitalised value</t>
  </si>
  <si>
    <t xml:space="preserve">Broker quotation on the insured value of the asset.</t>
  </si>
  <si>
    <t xml:space="preserve">Total incremental operating cost</t>
  </si>
  <si>
    <t xml:space="preserve">3   DEPRECIATION AND RESIDUAL VALUE</t>
  </si>
  <si>
    <t xml:space="preserve">Depreciable amount</t>
  </si>
  <si>
    <t xml:space="preserve">Capital cost less residual value.</t>
  </si>
  <si>
    <t xml:space="preserve">Depreciation period</t>
  </si>
  <si>
    <t xml:space="preserve">Years of operation, FY2027 to FY2035.</t>
  </si>
  <si>
    <t xml:space="preserve">Annual depreciation</t>
  </si>
  <si>
    <t xml:space="preserve">Straight line. Tax depreciation is assumed equal to book depreciation; no accelerated allowance is claimed.</t>
  </si>
  <si>
    <t xml:space="preserve">Written down value at FY2035</t>
  </si>
  <si>
    <t xml:space="preserve">Equals the residual value by construction, so no disposal gain or loss arises.</t>
  </si>
  <si>
    <t xml:space="preserve">SCENARIOS, SENSITIVITY AND BREAK EVEN</t>
  </si>
  <si>
    <t xml:space="preserve">Twelve live runs. Each one re-computes ten years of cash flow from its own parameters and discounts them: none of these numbers is an approximation of the base case.</t>
  </si>
  <si>
    <t xml:space="preserve">RUNS AND THEIR PARAMETERS</t>
  </si>
  <si>
    <t xml:space="preserve">Run</t>
  </si>
  <si>
    <t xml:space="preserve">Platform revenue</t>
  </si>
  <si>
    <t xml:space="preserve">Contribution per unit</t>
  </si>
  <si>
    <t xml:space="preserve">Insourcing saving</t>
  </si>
  <si>
    <t xml:space="preserve">Capital cost</t>
  </si>
  <si>
    <t xml:space="preserve">Discount rate</t>
  </si>
  <si>
    <t xml:space="preserve">Benefit delay</t>
  </si>
  <si>
    <t xml:space="preserve">Net present value</t>
  </si>
  <si>
    <t xml:space="preserve">IRR</t>
  </si>
  <si>
    <t xml:space="preserve">What it tests</t>
  </si>
  <si>
    <t xml:space="preserve">1   Base case</t>
  </si>
  <si>
    <t xml:space="preserve">As built on the Appraisal tab.</t>
  </si>
  <si>
    <t xml:space="preserve">2   Platform not awarded</t>
  </si>
  <si>
    <t xml:space="preserve">Nordwerk nominates another supplier. The insourcing benefit stands on its own.</t>
  </si>
  <si>
    <t xml:space="preserve">3   Platform delayed twelve months</t>
  </si>
  <si>
    <t xml:space="preserve">Nomination slips a year. Tests how much of the case is timing.</t>
  </si>
  <si>
    <t xml:space="preserve">4   Platform volume down 15%</t>
  </si>
  <si>
    <t xml:space="preserve">Call-offs below the RFQ quantity.</t>
  </si>
  <si>
    <t xml:space="preserve">5   Contribution per unit down 10%</t>
  </si>
  <si>
    <t xml:space="preserve">Price give back, or material inflation not passed through.</t>
  </si>
  <si>
    <t xml:space="preserve">6   Insourcing saving down 25%</t>
  </si>
  <si>
    <t xml:space="preserve">Subcontractors cut their rates to keep the work, which is what they do.</t>
  </si>
  <si>
    <t xml:space="preserve">7   Capital cost up 10%</t>
  </si>
  <si>
    <t xml:space="preserve">Overrun on installation and tooling.</t>
  </si>
  <si>
    <t xml:space="preserve">8   Capital cost down 5%</t>
  </si>
  <si>
    <t xml:space="preserve">Achievable in the final negotiation, per procurement.</t>
  </si>
  <si>
    <t xml:space="preserve">9   Discounted at the group hurdle rate</t>
  </si>
  <si>
    <t xml:space="preserve">The rate the group applies to discretionary capacity.</t>
  </si>
  <si>
    <t xml:space="preserve">10  Milestone 2 deferred three weeks</t>
  </si>
  <si>
    <t xml:space="preserve">The liquidity action recommended in the 13-week cash flow forecast, priced.</t>
  </si>
  <si>
    <t xml:space="preserve">11  Management case</t>
  </si>
  <si>
    <t xml:space="preserve">Platform awarded at the RFQ quantity and the 5% capital saving delivered.</t>
  </si>
  <si>
    <t xml:space="preserve">12  Combined downside</t>
  </si>
  <si>
    <t xml:space="preserve">Runs 3 to 7 together. Not a forecast, a stress test.</t>
  </si>
  <si>
    <t xml:space="preserve">ENGINE WORKING - EACH BLOCK IS A FULL TEN-YEAR RE-RUN</t>
  </si>
  <si>
    <t xml:space="preserve">Every block below rebuilds the benefit from the run's own parameters, applies the delay, recomputes tax on the revised depreciation, rebuilds the investment flows at the run's capital cost and discounts at the run's rate. Run 1 must reproduce the Appraisal tab exactly; the Checks tab proves it.</t>
  </si>
  <si>
    <t xml:space="preserve">1   BASE CASE</t>
  </si>
  <si>
    <t xml:space="preserve">Platform contribution</t>
  </si>
  <si>
    <t xml:space="preserve">Other net benefit</t>
  </si>
  <si>
    <t xml:space="preserve">Tax</t>
  </si>
  <si>
    <t xml:space="preserve">Investment flows</t>
  </si>
  <si>
    <t xml:space="preserve">2   PLATFORM NOT AWARDED</t>
  </si>
  <si>
    <t xml:space="preserve">3   PLATFORM DELAYED TWELVE MONTHS</t>
  </si>
  <si>
    <t xml:space="preserve">4   PLATFORM VOLUME DOWN 15%</t>
  </si>
  <si>
    <t xml:space="preserve">5   CONTRIBUTION PER UNIT DOWN 10%</t>
  </si>
  <si>
    <t xml:space="preserve">6   INSOURCING SAVING DOWN 25%</t>
  </si>
  <si>
    <t xml:space="preserve">7   CAPITAL COST UP 10%</t>
  </si>
  <si>
    <t xml:space="preserve">8   CAPITAL COST DOWN 5%</t>
  </si>
  <si>
    <t xml:space="preserve">9   DISCOUNTED AT THE GROUP HURDLE RATE</t>
  </si>
  <si>
    <t xml:space="preserve">10  MILESTONE 2 DEFERRED THREE WEEKS</t>
  </si>
  <si>
    <t xml:space="preserve">11  MANAGEMENT CASE</t>
  </si>
  <si>
    <t xml:space="preserve">12  COMBINED DOWNSIDE</t>
  </si>
  <si>
    <t xml:space="preserve">BREAK EVEN</t>
  </si>
  <si>
    <t xml:space="preserve">Question</t>
  </si>
  <si>
    <t xml:space="preserve">Base</t>
  </si>
  <si>
    <t xml:space="preserve">At zero</t>
  </si>
  <si>
    <t xml:space="preserve">Break even</t>
  </si>
  <si>
    <t xml:space="preserve">As % of base</t>
  </si>
  <si>
    <t xml:space="preserve">How it is derived</t>
  </si>
  <si>
    <t xml:space="preserve">Platform revenue needed for a nil net present value</t>
  </si>
  <si>
    <t xml:space="preserve">The relationship is linear because the tax rate is flat and no loss limitation applies, so the break even is read off run 1 and run 2 directly.</t>
  </si>
  <si>
    <t xml:space="preserve">Capital cost that the base case can carry</t>
  </si>
  <si>
    <t xml:space="preserve">Net present value plus capital cost, at the base case benefit.</t>
  </si>
  <si>
    <t xml:space="preserve">Utilisation needed to hold the base case</t>
  </si>
  <si>
    <t xml:space="preserve">Both benefit streams scale with hours, so the utilisation break even follows the benefit break even.</t>
  </si>
  <si>
    <t xml:space="preserve">DISCOUNT RATE</t>
  </si>
  <si>
    <t xml:space="preserve">The cash flows are in euro, so the build starts from a euro risk free rate and adds a country risk premium, rather than starting from a forint government yield and mixing currencies.</t>
  </si>
  <si>
    <t xml:space="preserve">COST OF EQUITY</t>
  </si>
  <si>
    <t xml:space="preserve">Risk free rate, euro</t>
  </si>
  <si>
    <t xml:space="preserve">% p.a.</t>
  </si>
  <si>
    <t xml:space="preserve">10-year German federal bond yield at the appraisal date.</t>
  </si>
  <si>
    <t xml:space="preserve">Country risk premium, Hungary</t>
  </si>
  <si>
    <t xml:space="preserve">Sovereign spread over the euro benchmark, adjusted for relative equity market volatility.</t>
  </si>
  <si>
    <t xml:space="preserve">Equity risk premium</t>
  </si>
  <si>
    <t xml:space="preserve">Long run mature market premium.</t>
  </si>
  <si>
    <t xml:space="preserve">Unlevered beta, automotive components</t>
  </si>
  <si>
    <t xml:space="preserve">x</t>
  </si>
  <si>
    <t xml:space="preserve">Sector median for Tier-2 component manufacturers.</t>
  </si>
  <si>
    <t xml:space="preserve">Target gearing, debt to debt plus equity</t>
  </si>
  <si>
    <t xml:space="preserve">%</t>
  </si>
  <si>
    <t xml:space="preserve">Group target capital structure, not the current position.</t>
  </si>
  <si>
    <t xml:space="preserve">Relevered beta</t>
  </si>
  <si>
    <t xml:space="preserve">Hamada, at the target gearing and the statutory tax rate.</t>
  </si>
  <si>
    <t xml:space="preserve">Small company premium</t>
  </si>
  <si>
    <t xml:space="preserve">Applied for a single site business with one dominant customer.</t>
  </si>
  <si>
    <t xml:space="preserve">Cost of equity</t>
  </si>
  <si>
    <t xml:space="preserve">Capital asset pricing model, with the country and size premiums added.</t>
  </si>
  <si>
    <t xml:space="preserve">COST OF DEBT</t>
  </si>
  <si>
    <t xml:space="preserve">Pre-tax cost of debt</t>
  </si>
  <si>
    <t xml:space="preserve">Contracted rate on the term loan that funds machine finance. The same rate appears in the 13-week cash flow forecast.</t>
  </si>
  <si>
    <t xml:space="preserve">Tax shield</t>
  </si>
  <si>
    <t xml:space="preserve">Statutory rate.</t>
  </si>
  <si>
    <t xml:space="preserve">Post-tax cost of debt</t>
  </si>
  <si>
    <t xml:space="preserve">Interest is deductible.</t>
  </si>
  <si>
    <t xml:space="preserve">WEIGHTED AVERAGE COST OF CAPITAL</t>
  </si>
  <si>
    <t xml:space="preserve">Weight of equity</t>
  </si>
  <si>
    <t xml:space="preserve">Weight of debt</t>
  </si>
  <si>
    <t xml:space="preserve">WACC, rounded to the nearest 10 basis points</t>
  </si>
  <si>
    <t xml:space="preserve">The rate used to discount the project.</t>
  </si>
  <si>
    <t xml:space="preserve">Group hurdle rate for capacity investment</t>
  </si>
  <si>
    <t xml:space="preserve">WACC plus a margin required by the group for discretionary capacity. Reported alongside the WACC, not instead of it.</t>
  </si>
  <si>
    <t xml:space="preserve">A note on what is not in here. No project specific risk premium has been added to the discount rate. Project risk is dealt with where it belongs, in the cash flows and in the twelve scenarios, not by inventing a rate. Adding a premium to the rate and then also running a downside case charges the same risk twice.</t>
  </si>
  <si>
    <t xml:space="preserve">ASSUMPTIONS AND CONTROL PANEL</t>
  </si>
  <si>
    <t xml:space="preserve">Halcyon Metalworks Kft.  |  5-axis machining centre, programme P-4471  |  appraisal date 24 July 2026  |  EUR '000 unless stated  |  blue = input, green = link, black = calculated</t>
  </si>
  <si>
    <t xml:space="preserve">APPRAISAL CONTROL</t>
  </si>
  <si>
    <t xml:space="preserve">date</t>
  </si>
  <si>
    <t xml:space="preserve">Board paper for the July capital committee.</t>
  </si>
  <si>
    <t xml:space="preserve">First year of the appraisal</t>
  </si>
  <si>
    <t xml:space="preserve">Calendar year end. FY2026 carries the capital spend and no benefit.</t>
  </si>
  <si>
    <t xml:space="preserve">Appraisal period</t>
  </si>
  <si>
    <t xml:space="preserve">years</t>
  </si>
  <si>
    <t xml:space="preserve">Ten years: one year of installation and nine years of operation, which is the shortest credible economic life for a machine of this class.</t>
  </si>
  <si>
    <t xml:space="preserve">Discount convention</t>
  </si>
  <si>
    <t xml:space="preserve">1 / 2</t>
  </si>
  <si>
    <t xml:space="preserve">1 = end of year, 2 = mid year. Mid year is the default: the cash flows arise through the year, not on 31 December.</t>
  </si>
  <si>
    <t xml:space="preserve">Scenario selector</t>
  </si>
  <si>
    <t xml:space="preserve">1 to 12</t>
  </si>
  <si>
    <t xml:space="preserve">Selects which run on the Scenarios tab drives the summary commentary. The appraisal itself is always the base case.</t>
  </si>
  <si>
    <t xml:space="preserve">CAPITAL COST</t>
  </si>
  <si>
    <t xml:space="preserve">Machine contract value</t>
  </si>
  <si>
    <t xml:space="preserve">EUR '000</t>
  </si>
  <si>
    <t xml:space="preserve">Signed quotation, three-stage payment. The same milestones appear in the 13-week cash flow forecast.</t>
  </si>
  <si>
    <t xml:space="preserve">Foundation, power, extraction and vendor commissioning.</t>
  </si>
  <si>
    <t xml:space="preserve">First set only. Replacement tooling is in the operating cost build.</t>
  </si>
  <si>
    <t xml:space="preserve">Four operators, two weeks at the vendor academy.</t>
  </si>
  <si>
    <t xml:space="preserve">MES and quality system integration</t>
  </si>
  <si>
    <t xml:space="preserve">Machine data capture into the existing MES.</t>
  </si>
  <si>
    <t xml:space="preserve">Everything that must be spent before the first saleable part.</t>
  </si>
  <si>
    <t xml:space="preserve">OPERATING PARAMETERS</t>
  </si>
  <si>
    <t xml:space="preserve">Machine hours available per year</t>
  </si>
  <si>
    <t xml:space="preserve">hours</t>
  </si>
  <si>
    <t xml:space="preserve">Three shifts, 250 days, 22.5 hours a day at 82% availability. Availability is the vendor figure discounted by the plant's own experience.</t>
  </si>
  <si>
    <t xml:space="preserve">Internal conversion cost per machine hour</t>
  </si>
  <si>
    <t xml:space="preserve">EUR / h</t>
  </si>
  <si>
    <t xml:space="preserve">Direct labour, energy, consumables and cell overhead. Excludes material, which is unaffected by where the part is machined.</t>
  </si>
  <si>
    <t xml:space="preserve">Benefit ramp, first operating year</t>
  </si>
  <si>
    <t xml:space="preserve">% of steady state</t>
  </si>
  <si>
    <t xml:space="preserve">Machine live 01-Feb-2027, then a ramp through programme qualification. Half a year of steady state benefit in FY2027.</t>
  </si>
  <si>
    <t xml:space="preserve">Corporate income tax rate</t>
  </si>
  <si>
    <t xml:space="preserve">Hungarian corporate income tax. Local business tax is excluded from the appraisal because it is levied on a modified base that this investment does not change materially.</t>
  </si>
  <si>
    <t xml:space="preserve">Working capital investment</t>
  </si>
  <si>
    <t xml:space="preserve">Work in progress and tooling stock once machining is insourced. Released at the end of the appraisal period.</t>
  </si>
  <si>
    <t xml:space="preserve">Spindle and rotary table refurbishment, FY2031, per the vendor's schedule.</t>
  </si>
  <si>
    <t xml:space="preserve">Mid-life overhaul year</t>
  </si>
  <si>
    <t xml:space="preserve">Year six of operation.</t>
  </si>
  <si>
    <t xml:space="preserve">12% of the machine contract value. Set equal to written down value so that no disposal gain is assumed.</t>
  </si>
  <si>
    <t xml:space="preserve">EXCLUDED FROM THE BASE CASE, DELIBERATELY</t>
  </si>
  <si>
    <t xml:space="preserve">Headcount reduction</t>
  </si>
  <si>
    <t xml:space="preserve">EUR '000 / yr</t>
  </si>
  <si>
    <t xml:space="preserve">One operator runs the cell where three machines needed 1.6 FTE. Excluded: the plant is capacity constrained, not labour constrained, so the freed hours go to the new platform rather than off the payroll.</t>
  </si>
  <si>
    <t xml:space="preserve">Lead time and inventory benefit</t>
  </si>
  <si>
    <t xml:space="preserve">Insourcing removes two weeks of transit and subcontractor queue. Real, but not committed to by operations, so it is not in the case.</t>
  </si>
  <si>
    <t xml:space="preserve">Freight saving on subcontract movements</t>
  </si>
  <si>
    <t xml:space="preserve">Small and hard to isolate from the wider logistics budget.</t>
  </si>
  <si>
    <t xml:space="preserve">Development tax allowance</t>
  </si>
  <si>
    <t xml:space="preserve">not quantified</t>
  </si>
  <si>
    <t xml:space="preserve">Hungary offers a corporate tax allowance for qualifying investments. Eligibility and thresholds must be confirmed with the tax adviser before any benefit is claimed, so nothing is taken here.</t>
  </si>
  <si>
    <t xml:space="preserve">Excluded benefits, total</t>
  </si>
  <si>
    <t xml:space="preserve">Quantified but left out. Stated here so that the committee can see what has been kept out of the case, not only what has been put into it.</t>
  </si>
  <si>
    <t xml:space="preserve">BASIS OF PREPARATION</t>
  </si>
  <si>
    <t xml:space="preserve">-</t>
  </si>
  <si>
    <t xml:space="preserve">Incremental cash flows only. Anything that happens whether or not the machine is bought is out of scope.</t>
  </si>
  <si>
    <t xml:space="preserve">Financing cash flows are excluded. The project is appraised at the weighted average cost of capital, so interest and loan repayments must not also appear in the cash flows: that would charge the cost of capital twice.</t>
  </si>
  <si>
    <t xml:space="preserve">Depreciation appears only in the tax computation. It is not a cash flow.</t>
  </si>
  <si>
    <t xml:space="preserve">Tax is computed on the incremental taxable profit of the project, at the flat statutory rate, with no assumption about group relief or loss carry forward.</t>
  </si>
  <si>
    <t xml:space="preserve">Every benefit is built from volumes, rates and hours on the Benefits Build tab. No benefit is entered as a single number.</t>
  </si>
  <si>
    <t xml:space="preserve">All figures are illustrative and relate to a fictional company. No client data appears in this file.</t>
  </si>
  <si>
    <t xml:space="preserve">INTEGRITY CHECKS</t>
  </si>
  <si>
    <t xml:space="preserve">Halcyon Metalworks Kft.  |  every check must read OK before the paper goes to the committee</t>
  </si>
  <si>
    <t xml:space="preserve">Master control</t>
  </si>
  <si>
    <t xml:space="preserve">Check</t>
  </si>
  <si>
    <t xml:space="preserve">Expected</t>
  </si>
  <si>
    <t xml:space="preserve">Actual</t>
  </si>
  <si>
    <t xml:space="preserve">Difference</t>
  </si>
  <si>
    <t xml:space="preserve">Status</t>
  </si>
  <si>
    <t xml:space="preserve">What it proves</t>
  </si>
  <si>
    <t xml:space="preserve">Capital cost build agrees to the milestone schedule</t>
  </si>
  <si>
    <t xml:space="preserve">The number being appraised is the number that will be paid.</t>
  </si>
  <si>
    <t xml:space="preserve">Capital expenditure in the cash flow agrees to the schedule</t>
  </si>
  <si>
    <t xml:space="preserve">Nothing has been left out of the cash flow or counted twice.</t>
  </si>
  <si>
    <t xml:space="preserve">Depreciation over the life equals cost less residual</t>
  </si>
  <si>
    <t xml:space="preserve">The asset is written down to exactly its residual value, so no disposal gain is smuggled into the case.</t>
  </si>
  <si>
    <t xml:space="preserve">Working capital nets to nil over the appraisal period</t>
  </si>
  <si>
    <t xml:space="preserve">Working capital is a timing item, not a benefit.</t>
  </si>
  <si>
    <t xml:space="preserve">Free cash flow equals the sum of its components</t>
  </si>
  <si>
    <t xml:space="preserve">No line is missing from the cash flow.</t>
  </si>
  <si>
    <t xml:space="preserve">Net present value equals the sum of the present value row</t>
  </si>
  <si>
    <t xml:space="preserve">Two routes to the same figure: the discounted row and the discount factors applied to the cash flow.</t>
  </si>
  <si>
    <t xml:space="preserve">Cumulative present value ends at the net present value</t>
  </si>
  <si>
    <t xml:space="preserve">The chart on the summary page ends where the appraisal does.</t>
  </si>
  <si>
    <t xml:space="preserve">Net present value at the internal rate of return is nil</t>
  </si>
  <si>
    <t xml:space="preserve">Confirms the internal rate of return is the rate that sets the net present value to zero on this convention.</t>
  </si>
  <si>
    <t xml:space="preserve">Benefit build totals agree to the cash flow</t>
  </si>
  <si>
    <t xml:space="preserve">The nine operating years of benefit reconcile to the steady state build times the ramp.</t>
  </si>
  <si>
    <t xml:space="preserve">Incremental operating cost agrees to the build</t>
  </si>
  <si>
    <t xml:space="preserve">Maintenance starts a year later than the other costs, and the check carries that difference rather than ignoring it.</t>
  </si>
  <si>
    <t xml:space="preserve">Tax is the statutory rate on taxable profit, every year</t>
  </si>
  <si>
    <t xml:space="preserve">No year has been overridden.</t>
  </si>
  <si>
    <t xml:space="preserve">WACC equals the weighted average of its components</t>
  </si>
  <si>
    <t xml:space="preserve">The rate on the appraisal is the rate that was built.</t>
  </si>
  <si>
    <t xml:space="preserve">Machine hours required do not exceed hours available</t>
  </si>
  <si>
    <t xml:space="preserve">Both benefit streams have to fit on one machine.</t>
  </si>
  <si>
    <t xml:space="preserve">Scenario engine run 1 reproduces the appraisal</t>
  </si>
  <si>
    <t xml:space="preserve">The twelve runs are genuine re-runs of the model, not adjustments to the base case.</t>
  </si>
  <si>
    <t xml:space="preserve">Scenario engine run 1 reproduces the internal rate of return</t>
  </si>
  <si>
    <t xml:space="preserve">As above, on the return measure.</t>
  </si>
  <si>
    <t xml:space="preserve">No formula errors anywhere on the appraisal or the engine</t>
  </si>
  <si>
    <t xml:space="preserve">Self-explanatory, and worth testing every time.</t>
  </si>
</sst>
</file>

<file path=xl/styles.xml><?xml version="1.0" encoding="utf-8"?>
<styleSheet xmlns="http://schemas.openxmlformats.org/spreadsheetml/2006/main">
  <numFmts count="19">
    <numFmt numFmtId="164" formatCode="General"/>
    <numFmt numFmtId="165" formatCode="dd\ mmmm\ yyyy"/>
    <numFmt numFmtId="166" formatCode="#,##0;\(#,##0\);\-"/>
    <numFmt numFmtId="167" formatCode="0.0%"/>
    <numFmt numFmtId="168" formatCode="#,##0.0&quot; yrs&quot;"/>
    <numFmt numFmtId="169" formatCode="#,##0"/>
    <numFmt numFmtId="170" formatCode="0.0"/>
    <numFmt numFmtId="171" formatCode="0.000"/>
    <numFmt numFmtId="172" formatCode="0.00&quot; x&quot;"/>
    <numFmt numFmtId="173" formatCode="0.000&quot; h&quot;"/>
    <numFmt numFmtId="174" formatCode="#,##0&quot; h&quot;"/>
    <numFmt numFmtId="175" formatCode="#,##0.00"/>
    <numFmt numFmtId="176" formatCode="#,##0.0;\(#,##0.0\);\-"/>
    <numFmt numFmtId="177" formatCode="dd\-mmm\-yy"/>
    <numFmt numFmtId="178" formatCode="0.00%"/>
    <numFmt numFmtId="179" formatCode="#,##0&quot; yrs&quot;"/>
    <numFmt numFmtId="180" formatCode="0.000&quot; yrs&quot;"/>
    <numFmt numFmtId="181" formatCode="0.00"/>
    <numFmt numFmtId="182" formatCode="#,##0.00;\(#,##0.00\);\-"/>
  </numFmts>
  <fonts count="48">
    <font>
      <sz val="11"/>
      <color theme="1"/>
      <name val="Calibri"/>
      <family val="2"/>
      <charset val="1"/>
    </font>
    <font>
      <sz val="10"/>
      <name val="Arial"/>
      <family val="0"/>
    </font>
    <font>
      <sz val="10"/>
      <name val="Arial"/>
      <family val="0"/>
    </font>
    <font>
      <sz val="10"/>
      <name val="Arial"/>
      <family val="0"/>
    </font>
    <font>
      <b val="true"/>
      <sz val="15"/>
      <color rgb="FFC3D600"/>
      <name val="Arial"/>
      <family val="0"/>
      <charset val="1"/>
    </font>
    <font>
      <b val="true"/>
      <sz val="26"/>
      <color rgb="FFFFFFFF"/>
      <name val="Arial"/>
      <family val="0"/>
      <charset val="1"/>
    </font>
    <font>
      <sz val="11"/>
      <color rgb="FFC9CFD4"/>
      <name val="Arial"/>
      <family val="0"/>
      <charset val="1"/>
    </font>
    <font>
      <i val="true"/>
      <sz val="9.5"/>
      <color rgb="FFC3D600"/>
      <name val="Arial"/>
      <family val="0"/>
      <charset val="1"/>
    </font>
    <font>
      <b val="true"/>
      <sz val="9"/>
      <color rgb="FF5F6A73"/>
      <name val="Arial"/>
      <family val="0"/>
      <charset val="1"/>
    </font>
    <font>
      <b val="true"/>
      <sz val="11"/>
      <color rgb="FF1F2429"/>
      <name val="Arial"/>
      <family val="0"/>
      <charset val="1"/>
    </font>
    <font>
      <sz val="10"/>
      <color rgb="FF1F2429"/>
      <name val="Arial"/>
      <family val="0"/>
      <charset val="1"/>
    </font>
    <font>
      <b val="true"/>
      <sz val="9.5"/>
      <color rgb="FFFFFFFF"/>
      <name val="Arial"/>
      <family val="0"/>
      <charset val="1"/>
    </font>
    <font>
      <sz val="9.5"/>
      <color rgb="FF1F2429"/>
      <name val="Arial"/>
      <family val="0"/>
      <charset val="1"/>
    </font>
    <font>
      <b val="true"/>
      <sz val="8.5"/>
      <color rgb="FFFFFFFF"/>
      <name val="Arial"/>
      <family val="0"/>
      <charset val="1"/>
    </font>
    <font>
      <b val="true"/>
      <sz val="9"/>
      <color rgb="FF1F2429"/>
      <name val="Arial"/>
      <family val="0"/>
      <charset val="1"/>
    </font>
    <font>
      <sz val="8.5"/>
      <color rgb="FF5F6A73"/>
      <name val="Arial"/>
      <family val="0"/>
      <charset val="1"/>
    </font>
    <font>
      <sz val="9"/>
      <color rgb="FF1F2429"/>
      <name val="Arial"/>
      <family val="0"/>
      <charset val="1"/>
    </font>
    <font>
      <b val="true"/>
      <sz val="14"/>
      <color rgb="FFFFFFFF"/>
      <name val="Arial"/>
      <family val="0"/>
      <charset val="1"/>
    </font>
    <font>
      <sz val="9"/>
      <color rgb="FF5F6A73"/>
      <name val="Arial"/>
      <family val="0"/>
      <charset val="1"/>
    </font>
    <font>
      <b val="true"/>
      <sz val="8"/>
      <color rgb="FFC3D600"/>
      <name val="Arial"/>
      <family val="0"/>
      <charset val="1"/>
    </font>
    <font>
      <b val="true"/>
      <sz val="20"/>
      <color rgb="FFFFFFFF"/>
      <name val="Arial"/>
      <family val="0"/>
      <charset val="1"/>
    </font>
    <font>
      <sz val="8"/>
      <color rgb="FFC9CFD4"/>
      <name val="Arial"/>
      <family val="0"/>
      <charset val="1"/>
    </font>
    <font>
      <b val="true"/>
      <sz val="9"/>
      <color rgb="FFC3D600"/>
      <name val="Arial"/>
      <family val="0"/>
      <charset val="1"/>
    </font>
    <font>
      <b val="true"/>
      <sz val="11"/>
      <color rgb="FFFFFFFF"/>
      <name val="Arial"/>
      <family val="0"/>
      <charset val="1"/>
    </font>
    <font>
      <b val="true"/>
      <sz val="8.5"/>
      <color rgb="FF1F2429"/>
      <name val="Arial"/>
      <family val="0"/>
      <charset val="1"/>
    </font>
    <font>
      <b val="true"/>
      <sz val="8.5"/>
      <color rgb="FFA8271B"/>
      <name val="Arial"/>
      <family val="0"/>
      <charset val="1"/>
    </font>
    <font>
      <b val="true"/>
      <sz val="8.5"/>
      <color rgb="FFB26A00"/>
      <name val="Arial"/>
      <family val="0"/>
      <charset val="1"/>
    </font>
    <font>
      <b val="true"/>
      <sz val="8.5"/>
      <color rgb="FF5F6A73"/>
      <name val="Arial"/>
      <family val="0"/>
      <charset val="1"/>
    </font>
    <font>
      <i val="true"/>
      <sz val="8"/>
      <color rgb="FF5F6A73"/>
      <name val="Arial"/>
      <family val="0"/>
      <charset val="1"/>
    </font>
    <font>
      <sz val="10"/>
      <color rgb="FF000000"/>
      <name val="Calibri"/>
      <family val="2"/>
    </font>
    <font>
      <b val="true"/>
      <sz val="13"/>
      <color rgb="FFFFFFFF"/>
      <name val="Arial"/>
      <family val="0"/>
      <charset val="1"/>
    </font>
    <font>
      <b val="true"/>
      <sz val="9.5"/>
      <color rgb="FF1F2429"/>
      <name val="Arial"/>
      <family val="0"/>
      <charset val="1"/>
    </font>
    <font>
      <b val="true"/>
      <sz val="10"/>
      <color rgb="FF1F2429"/>
      <name val="Arial"/>
      <family val="0"/>
      <charset val="1"/>
    </font>
    <font>
      <sz val="8"/>
      <color rgb="FF5F6A73"/>
      <name val="Arial"/>
      <family val="0"/>
      <charset val="1"/>
    </font>
    <font>
      <sz val="10"/>
      <name val="Arial"/>
      <family val="2"/>
    </font>
    <font>
      <sz val="9.5"/>
      <color rgb="FF0000FF"/>
      <name val="Arial"/>
      <family val="0"/>
      <charset val="1"/>
    </font>
    <font>
      <sz val="9.5"/>
      <color rgb="FF008000"/>
      <name val="Arial"/>
      <family val="0"/>
      <charset val="1"/>
    </font>
    <font>
      <b val="true"/>
      <sz val="9.5"/>
      <color rgb="FF0000FF"/>
      <name val="Arial"/>
      <family val="0"/>
      <charset val="1"/>
    </font>
    <font>
      <sz val="8.5"/>
      <color rgb="FF8A9C00"/>
      <name val="Arial"/>
      <family val="0"/>
      <charset val="1"/>
    </font>
    <font>
      <b val="true"/>
      <sz val="8"/>
      <color rgb="FFFFFFFF"/>
      <name val="Arial"/>
      <family val="0"/>
      <charset val="1"/>
    </font>
    <font>
      <b val="true"/>
      <sz val="8"/>
      <color rgb="FF1F2429"/>
      <name val="Arial"/>
      <family val="0"/>
      <charset val="1"/>
    </font>
    <font>
      <sz val="8"/>
      <color rgb="FF1F2429"/>
      <name val="Arial"/>
      <family val="0"/>
      <charset val="1"/>
    </font>
    <font>
      <sz val="8"/>
      <name val="Arial"/>
      <family val="0"/>
      <charset val="1"/>
    </font>
    <font>
      <b val="true"/>
      <sz val="8"/>
      <name val="Arial"/>
      <family val="0"/>
      <charset val="1"/>
    </font>
    <font>
      <i val="true"/>
      <sz val="8.5"/>
      <color rgb="FF5F6A73"/>
      <name val="Arial"/>
      <family val="0"/>
      <charset val="1"/>
    </font>
    <font>
      <sz val="9.5"/>
      <color rgb="FF5F6A73"/>
      <name val="Arial"/>
      <family val="0"/>
      <charset val="1"/>
    </font>
    <font>
      <sz val="9"/>
      <color rgb="FF8A9C00"/>
      <name val="Arial"/>
      <family val="0"/>
      <charset val="1"/>
    </font>
    <font>
      <sz val="8.5"/>
      <color rgb="FF1F2429"/>
      <name val="Arial"/>
      <family val="0"/>
      <charset val="1"/>
    </font>
  </fonts>
  <fills count="9">
    <fill>
      <patternFill patternType="none"/>
    </fill>
    <fill>
      <patternFill patternType="gray125"/>
    </fill>
    <fill>
      <patternFill patternType="solid">
        <fgColor rgb="FF1F2429"/>
        <bgColor rgb="FF343C44"/>
      </patternFill>
    </fill>
    <fill>
      <patternFill patternType="solid">
        <fgColor rgb="FF343C44"/>
        <bgColor rgb="FF1F2429"/>
      </patternFill>
    </fill>
    <fill>
      <patternFill patternType="solid">
        <fgColor rgb="FFF2F7CC"/>
        <bgColor rgb="FFFFF7C4"/>
      </patternFill>
    </fill>
    <fill>
      <patternFill patternType="solid">
        <fgColor rgb="FFC3D600"/>
        <bgColor rgb="FFFFCC00"/>
      </patternFill>
    </fill>
    <fill>
      <patternFill patternType="solid">
        <fgColor rgb="FFF2F4F5"/>
        <bgColor rgb="FFFFFFFF"/>
      </patternFill>
    </fill>
    <fill>
      <patternFill patternType="solid">
        <fgColor rgb="FF5F6A73"/>
        <bgColor rgb="FF878787"/>
      </patternFill>
    </fill>
    <fill>
      <patternFill patternType="solid">
        <fgColor rgb="FFFFF7C4"/>
        <bgColor rgb="FFF2F7CC"/>
      </patternFill>
    </fill>
  </fills>
  <borders count="7">
    <border diagonalUp="false" diagonalDown="false">
      <left/>
      <right/>
      <top/>
      <bottom/>
      <diagonal/>
    </border>
    <border diagonalUp="false" diagonalDown="false">
      <left style="thin">
        <color rgb="FFC7CDD1"/>
      </left>
      <right style="thin">
        <color rgb="FFC7CDD1"/>
      </right>
      <top style="thin">
        <color rgb="FFC7CDD1"/>
      </top>
      <bottom style="thin">
        <color rgb="FFC7CDD1"/>
      </bottom>
      <diagonal/>
    </border>
    <border diagonalUp="false" diagonalDown="false">
      <left style="thin">
        <color rgb="FFC7CDD1"/>
      </left>
      <right/>
      <top style="thin">
        <color rgb="FFC7CDD1"/>
      </top>
      <bottom style="thin">
        <color rgb="FFC7CDD1"/>
      </bottom>
      <diagonal/>
    </border>
    <border diagonalUp="false" diagonalDown="false">
      <left style="thin">
        <color rgb="FF1F2429"/>
      </left>
      <right/>
      <top/>
      <bottom/>
      <diagonal/>
    </border>
    <border diagonalUp="false" diagonalDown="false">
      <left/>
      <right/>
      <top style="thin">
        <color rgb="FF1F2429"/>
      </top>
      <bottom style="thin">
        <color rgb="FF1F2429"/>
      </bottom>
      <diagonal/>
    </border>
    <border diagonalUp="false" diagonalDown="false">
      <left/>
      <right/>
      <top style="thin">
        <color rgb="FF1F2429"/>
      </top>
      <bottom/>
      <diagonal/>
    </border>
    <border diagonalUp="false" diagonalDown="false">
      <left/>
      <right/>
      <top style="thin">
        <color rgb="FF1F2429"/>
      </top>
      <bottom style="medium">
        <color rgb="FF1F242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4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0" shrinkToFit="false"/>
      <protection locked="true" hidden="false"/>
    </xf>
    <xf numFmtId="164" fontId="5" fillId="2" borderId="0" xfId="0" applyFont="true" applyBorder="true" applyAlignment="true" applyProtection="false">
      <alignment horizontal="general" vertical="center" textRotation="0" wrapText="false" indent="0" shrinkToFit="false"/>
      <protection locked="true" hidden="false"/>
    </xf>
    <xf numFmtId="164" fontId="6" fillId="2" borderId="0" xfId="0" applyFont="true" applyBorder="true" applyAlignment="true" applyProtection="false">
      <alignment horizontal="general" vertical="center" textRotation="0" wrapText="false" indent="0" shrinkToFit="false"/>
      <protection locked="true" hidden="false"/>
    </xf>
    <xf numFmtId="164" fontId="7" fillId="2" borderId="0" xfId="0" applyFont="true" applyBorder="true" applyAlignment="true" applyProtection="false">
      <alignment horizontal="general" vertical="center" textRotation="0" wrapText="fals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4" fontId="9" fillId="0" borderId="0" xfId="0" applyFont="true" applyBorder="false" applyAlignment="true" applyProtection="false">
      <alignment horizontal="general" vertical="center" textRotation="0" wrapText="false" indent="0" shrinkToFit="false"/>
      <protection locked="true" hidden="false"/>
    </xf>
    <xf numFmtId="165" fontId="9" fillId="0" borderId="0" xfId="0" applyFont="true" applyBorder="false" applyAlignment="true" applyProtection="false">
      <alignment horizontal="general" vertical="center" textRotation="0" wrapText="false" indent="0" shrinkToFit="false"/>
      <protection locked="true" hidden="false"/>
    </xf>
    <xf numFmtId="164" fontId="10" fillId="0" borderId="0" xfId="0" applyFont="true" applyBorder="false" applyAlignment="true" applyProtection="false">
      <alignment horizontal="general" vertical="center" textRotation="0" wrapText="false" indent="0" shrinkToFit="false"/>
      <protection locked="true" hidden="false"/>
    </xf>
    <xf numFmtId="164" fontId="11" fillId="3" borderId="0" xfId="0" applyFont="true" applyBorder="true" applyAlignment="true" applyProtection="false">
      <alignment horizontal="general" vertical="center" textRotation="0" wrapText="false" indent="0" shrinkToFit="false"/>
      <protection locked="true" hidden="false"/>
    </xf>
    <xf numFmtId="164" fontId="12" fillId="0" borderId="0" xfId="0" applyFont="true" applyBorder="true" applyAlignment="true" applyProtection="false">
      <alignment horizontal="general" vertical="top" textRotation="0" wrapText="tru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false">
      <alignment horizontal="general" vertical="center" textRotation="0" wrapText="false" indent="1" shrinkToFit="false"/>
      <protection locked="true" hidden="false"/>
    </xf>
    <xf numFmtId="164" fontId="15" fillId="0" borderId="2" xfId="0" applyFont="true" applyBorder="true" applyAlignment="true" applyProtection="false">
      <alignment horizontal="general" vertical="center" textRotation="0" wrapText="true" indent="0" shrinkToFit="false"/>
      <protection locked="true" hidden="false"/>
    </xf>
    <xf numFmtId="164" fontId="16" fillId="4" borderId="0" xfId="0" applyFont="true" applyBorder="true" applyAlignment="true" applyProtection="false">
      <alignment horizontal="general" vertical="center" textRotation="0" wrapText="true" indent="0" shrinkToFit="false"/>
      <protection locked="true" hidden="false"/>
    </xf>
    <xf numFmtId="164" fontId="17" fillId="2" borderId="0" xfId="0" applyFont="true" applyBorder="true" applyAlignment="true" applyProtection="false">
      <alignment horizontal="general" vertical="center" textRotation="0" wrapText="false" indent="0" shrinkToFit="false"/>
      <protection locked="true" hidden="false"/>
    </xf>
    <xf numFmtId="164" fontId="18" fillId="0" borderId="0" xfId="0" applyFont="true" applyBorder="true" applyAlignment="true" applyProtection="false">
      <alignment horizontal="general" vertical="center" textRotation="0" wrapText="false" indent="0" shrinkToFit="false"/>
      <protection locked="true" hidden="false"/>
    </xf>
    <xf numFmtId="164" fontId="19" fillId="2" borderId="0" xfId="0" applyFont="true" applyBorder="true" applyAlignment="true" applyProtection="false">
      <alignment horizontal="left" vertical="center" textRotation="0" wrapText="false" indent="0" shrinkToFit="false"/>
      <protection locked="true" hidden="false"/>
    </xf>
    <xf numFmtId="166" fontId="20" fillId="2" borderId="0" xfId="0" applyFont="true" applyBorder="true" applyAlignment="true" applyProtection="false">
      <alignment horizontal="left" vertical="center" textRotation="0" wrapText="false" indent="0" shrinkToFit="false"/>
      <protection locked="true" hidden="false"/>
    </xf>
    <xf numFmtId="167" fontId="20" fillId="2" borderId="0" xfId="0" applyFont="true" applyBorder="true" applyAlignment="true" applyProtection="false">
      <alignment horizontal="left" vertical="center" textRotation="0" wrapText="false" indent="0" shrinkToFit="false"/>
      <protection locked="true" hidden="false"/>
    </xf>
    <xf numFmtId="164" fontId="21" fillId="2" borderId="0" xfId="0" applyFont="true" applyBorder="true" applyAlignment="true" applyProtection="false">
      <alignment horizontal="general" vertical="top" textRotation="0" wrapText="true" indent="0" shrinkToFit="false"/>
      <protection locked="true" hidden="false"/>
    </xf>
    <xf numFmtId="168" fontId="20" fillId="2" borderId="0" xfId="0" applyFont="true" applyBorder="true" applyAlignment="true" applyProtection="false">
      <alignment horizontal="left" vertical="center" textRotation="0" wrapText="false" indent="0" shrinkToFit="false"/>
      <protection locked="true" hidden="false"/>
    </xf>
    <xf numFmtId="164" fontId="22" fillId="2" borderId="0" xfId="0" applyFont="true" applyBorder="true" applyAlignment="true" applyProtection="false">
      <alignment horizontal="general" vertical="center" textRotation="0" wrapText="false" indent="0" shrinkToFit="false"/>
      <protection locked="true" hidden="false"/>
    </xf>
    <xf numFmtId="164" fontId="23" fillId="2" borderId="0" xfId="0" applyFont="true" applyBorder="true" applyAlignment="true" applyProtection="false">
      <alignment horizontal="general" vertical="center" textRotation="0" wrapText="true" indent="0" shrinkToFit="false"/>
      <protection locked="true" hidden="false"/>
    </xf>
    <xf numFmtId="164" fontId="14" fillId="0" borderId="1" xfId="0" applyFont="true" applyBorder="true" applyAlignment="true" applyProtection="false">
      <alignment horizontal="general" vertical="center" textRotation="0" wrapText="false" indent="0" shrinkToFit="false"/>
      <protection locked="true" hidden="false"/>
    </xf>
    <xf numFmtId="164" fontId="16" fillId="0" borderId="0" xfId="0" applyFont="true" applyBorder="true" applyAlignment="true" applyProtection="false">
      <alignment horizontal="general" vertical="top" textRotation="0" wrapText="true" indent="0" shrinkToFit="false"/>
      <protection locked="true" hidden="false"/>
    </xf>
    <xf numFmtId="164" fontId="24" fillId="0" borderId="2" xfId="0" applyFont="true" applyBorder="true" applyAlignment="true" applyProtection="false">
      <alignment horizontal="general" vertical="center" textRotation="0" wrapText="false" indent="0" shrinkToFit="false"/>
      <protection locked="true" hidden="false"/>
    </xf>
    <xf numFmtId="164" fontId="25" fillId="0" borderId="2" xfId="0" applyFont="true" applyBorder="true" applyAlignment="true" applyProtection="false">
      <alignment horizontal="center" vertical="center" textRotation="0" wrapText="false" indent="0" shrinkToFit="false"/>
      <protection locked="true" hidden="false"/>
    </xf>
    <xf numFmtId="164" fontId="26" fillId="0" borderId="2" xfId="0" applyFont="true" applyBorder="true" applyAlignment="true" applyProtection="false">
      <alignment horizontal="center" vertical="center" textRotation="0" wrapText="false" indent="0" shrinkToFit="false"/>
      <protection locked="true" hidden="false"/>
    </xf>
    <xf numFmtId="164" fontId="27" fillId="0" borderId="2" xfId="0" applyFont="true" applyBorder="true" applyAlignment="true" applyProtection="false">
      <alignment horizontal="center" vertical="center" textRotation="0" wrapText="false" indent="0" shrinkToFit="false"/>
      <protection locked="true" hidden="false"/>
    </xf>
    <xf numFmtId="164" fontId="28" fillId="0" borderId="0" xfId="0" applyFont="true" applyBorder="true" applyAlignment="true" applyProtection="false">
      <alignment horizontal="general" vertical="center" textRotation="0" wrapText="false" indent="0" shrinkToFit="false"/>
      <protection locked="true" hidden="false"/>
    </xf>
    <xf numFmtId="164" fontId="30" fillId="2" borderId="0" xfId="0" applyFont="true" applyBorder="true" applyAlignment="true" applyProtection="false">
      <alignment horizontal="general" vertical="center" textRotation="0" wrapText="false" indent="0" shrinkToFit="false"/>
      <protection locked="true" hidden="false"/>
    </xf>
    <xf numFmtId="164" fontId="18" fillId="0" borderId="0" xfId="0" applyFont="true" applyBorder="true" applyAlignment="true" applyProtection="false">
      <alignment horizontal="general" vertical="center" textRotation="0" wrapText="true" indent="0" shrinkToFit="false"/>
      <protection locked="true" hidden="false"/>
    </xf>
    <xf numFmtId="164" fontId="16" fillId="0" borderId="0" xfId="0" applyFont="true" applyBorder="false" applyAlignment="true" applyProtection="false">
      <alignment horizontal="general" vertical="center" textRotation="0" wrapText="false" indent="1" shrinkToFit="false"/>
      <protection locked="true" hidden="false"/>
    </xf>
    <xf numFmtId="164" fontId="14" fillId="5" borderId="1" xfId="0" applyFont="true" applyBorder="true" applyAlignment="true" applyProtection="false">
      <alignment horizontal="center" vertical="center" textRotation="0" wrapText="false" indent="0" shrinkToFit="false"/>
      <protection locked="true" hidden="false"/>
    </xf>
    <xf numFmtId="169" fontId="15" fillId="6" borderId="1" xfId="0" applyFont="true" applyBorder="true" applyAlignment="true" applyProtection="false">
      <alignment horizontal="center" vertical="center" textRotation="0" wrapText="false" indent="0" shrinkToFit="false"/>
      <protection locked="true" hidden="false"/>
    </xf>
    <xf numFmtId="170" fontId="15" fillId="6" borderId="1" xfId="0" applyFont="true" applyBorder="true" applyAlignment="true" applyProtection="false">
      <alignment horizontal="center" vertical="center" textRotation="0" wrapText="false" indent="0" shrinkToFit="false"/>
      <protection locked="true" hidden="false"/>
    </xf>
    <xf numFmtId="166" fontId="16" fillId="0" borderId="0" xfId="0" applyFont="true" applyBorder="false" applyAlignment="true" applyProtection="false">
      <alignment horizontal="right" vertical="center" textRotation="0" wrapText="false" indent="0" shrinkToFit="false"/>
      <protection locked="true" hidden="false"/>
    </xf>
    <xf numFmtId="166" fontId="16" fillId="0" borderId="3" xfId="0" applyFont="true" applyBorder="true" applyAlignment="true" applyProtection="false">
      <alignment horizontal="right" vertical="center" textRotation="0" wrapText="false" indent="0" shrinkToFit="false"/>
      <protection locked="true" hidden="false"/>
    </xf>
    <xf numFmtId="164" fontId="14" fillId="0" borderId="0" xfId="0" applyFont="true" applyBorder="false" applyAlignment="true" applyProtection="false">
      <alignment horizontal="general" vertical="center" textRotation="0" wrapText="false" indent="1" shrinkToFit="false"/>
      <protection locked="true" hidden="false"/>
    </xf>
    <xf numFmtId="166" fontId="14" fillId="4" borderId="4" xfId="0" applyFont="true" applyBorder="true" applyAlignment="true" applyProtection="false">
      <alignment horizontal="right" vertical="center" textRotation="0" wrapText="false" indent="0" shrinkToFit="false"/>
      <protection locked="true" hidden="false"/>
    </xf>
    <xf numFmtId="166" fontId="14" fillId="4" borderId="3" xfId="0" applyFont="true" applyBorder="true" applyAlignment="true" applyProtection="false">
      <alignment horizontal="right" vertical="center" textRotation="0" wrapText="false" indent="0" shrinkToFit="false"/>
      <protection locked="true" hidden="false"/>
    </xf>
    <xf numFmtId="164" fontId="18" fillId="0" borderId="0" xfId="0" applyFont="true" applyBorder="false" applyAlignment="true" applyProtection="false">
      <alignment horizontal="general" vertical="center" textRotation="0" wrapText="false" indent="1" shrinkToFit="false"/>
      <protection locked="true" hidden="false"/>
    </xf>
    <xf numFmtId="166" fontId="18" fillId="0" borderId="0" xfId="0" applyFont="true" applyBorder="false" applyAlignment="true" applyProtection="false">
      <alignment horizontal="right" vertical="center" textRotation="0" wrapText="false" indent="0" shrinkToFit="false"/>
      <protection locked="true" hidden="false"/>
    </xf>
    <xf numFmtId="166" fontId="18" fillId="0" borderId="3" xfId="0" applyFont="true" applyBorder="true" applyAlignment="true" applyProtection="false">
      <alignment horizontal="right" vertical="center" textRotation="0" wrapText="false" indent="0" shrinkToFit="false"/>
      <protection locked="true" hidden="false"/>
    </xf>
    <xf numFmtId="171" fontId="16" fillId="0" borderId="0" xfId="0" applyFont="true" applyBorder="false" applyAlignment="true" applyProtection="false">
      <alignment horizontal="right" vertical="center" textRotation="0" wrapText="false" indent="0" shrinkToFit="false"/>
      <protection locked="true" hidden="false"/>
    </xf>
    <xf numFmtId="171" fontId="16" fillId="0" borderId="3" xfId="0" applyFont="true" applyBorder="true" applyAlignment="true" applyProtection="false">
      <alignment horizontal="right" vertical="center" textRotation="0" wrapText="false" indent="0" shrinkToFit="false"/>
      <protection locked="true" hidden="false"/>
    </xf>
    <xf numFmtId="166" fontId="14" fillId="0" borderId="0" xfId="0" applyFont="true" applyBorder="false" applyAlignment="true" applyProtection="false">
      <alignment horizontal="right" vertical="center" textRotation="0" wrapText="false" indent="0" shrinkToFit="false"/>
      <protection locked="true" hidden="false"/>
    </xf>
    <xf numFmtId="166" fontId="14" fillId="0" borderId="3" xfId="0" applyFont="true" applyBorder="true" applyAlignment="true" applyProtection="false">
      <alignment horizontal="right" vertical="center" textRotation="0" wrapText="false" indent="0" shrinkToFit="false"/>
      <protection locked="true" hidden="false"/>
    </xf>
    <xf numFmtId="166" fontId="14" fillId="6" borderId="0" xfId="0" applyFont="true" applyBorder="false" applyAlignment="true" applyProtection="false">
      <alignment horizontal="right" vertical="center" textRotation="0" wrapText="false" indent="0" shrinkToFit="false"/>
      <protection locked="true" hidden="false"/>
    </xf>
    <xf numFmtId="166" fontId="14" fillId="6" borderId="3" xfId="0" applyFont="true" applyBorder="true" applyAlignment="true" applyProtection="false">
      <alignment horizontal="right" vertical="center" textRotation="0" wrapText="false" indent="0" shrinkToFit="false"/>
      <protection locked="true" hidden="false"/>
    </xf>
    <xf numFmtId="164" fontId="31" fillId="0" borderId="0" xfId="0" applyFont="true" applyBorder="false" applyAlignment="true" applyProtection="false">
      <alignment horizontal="general" vertical="center" textRotation="0" wrapText="false" indent="1" shrinkToFit="false"/>
      <protection locked="true" hidden="false"/>
    </xf>
    <xf numFmtId="166" fontId="32" fillId="4" borderId="1" xfId="0" applyFont="true" applyBorder="true" applyAlignment="true" applyProtection="false">
      <alignment horizontal="center" vertical="center" textRotation="0" wrapText="false" indent="0" shrinkToFit="false"/>
      <protection locked="true" hidden="false"/>
    </xf>
    <xf numFmtId="164" fontId="33" fillId="0" borderId="0" xfId="0" applyFont="true" applyBorder="true" applyAlignment="true" applyProtection="false">
      <alignment horizontal="general" vertical="center" textRotation="0" wrapText="true" indent="0" shrinkToFit="false"/>
      <protection locked="true" hidden="false"/>
    </xf>
    <xf numFmtId="164" fontId="12" fillId="0" borderId="0" xfId="0" applyFont="true" applyBorder="false" applyAlignment="true" applyProtection="false">
      <alignment horizontal="general" vertical="center" textRotation="0" wrapText="false" indent="1" shrinkToFit="false"/>
      <protection locked="true" hidden="false"/>
    </xf>
    <xf numFmtId="166" fontId="32" fillId="0" borderId="1" xfId="0" applyFont="true" applyBorder="true" applyAlignment="true" applyProtection="false">
      <alignment horizontal="center" vertical="center" textRotation="0" wrapText="false" indent="0" shrinkToFit="false"/>
      <protection locked="true" hidden="false"/>
    </xf>
    <xf numFmtId="167" fontId="32" fillId="4" borderId="1" xfId="0" applyFont="true" applyBorder="true" applyAlignment="true" applyProtection="false">
      <alignment horizontal="center" vertical="center" textRotation="0" wrapText="false" indent="0" shrinkToFit="false"/>
      <protection locked="true" hidden="false"/>
    </xf>
    <xf numFmtId="167" fontId="32" fillId="0" borderId="1" xfId="0" applyFont="true" applyBorder="true" applyAlignment="true" applyProtection="false">
      <alignment horizontal="center" vertical="center" textRotation="0" wrapText="false" indent="0" shrinkToFit="false"/>
      <protection locked="true" hidden="false"/>
    </xf>
    <xf numFmtId="168" fontId="32" fillId="0" borderId="1" xfId="0" applyFont="true" applyBorder="true" applyAlignment="true" applyProtection="false">
      <alignment horizontal="center" vertical="center" textRotation="0" wrapText="false" indent="0" shrinkToFit="false"/>
      <protection locked="true" hidden="false"/>
    </xf>
    <xf numFmtId="172" fontId="32" fillId="0" borderId="1" xfId="0" applyFont="true" applyBorder="true" applyAlignment="true" applyProtection="false">
      <alignment horizontal="center" vertical="center" textRotation="0" wrapText="false" indent="0" shrinkToFit="false"/>
      <protection locked="true" hidden="false"/>
    </xf>
    <xf numFmtId="164" fontId="28" fillId="0" borderId="0" xfId="0" applyFont="true" applyBorder="false" applyAlignment="true" applyProtection="false">
      <alignment horizontal="general" vertical="center" textRotation="0" wrapText="false" indent="0" shrinkToFit="false"/>
      <protection locked="true" hidden="false"/>
    </xf>
    <xf numFmtId="164" fontId="15" fillId="0" borderId="1" xfId="0" applyFont="true" applyBorder="true" applyAlignment="true" applyProtection="false">
      <alignment horizontal="center" vertical="center" textRotation="0" wrapText="false" indent="0" shrinkToFit="false"/>
      <protection locked="true" hidden="false"/>
    </xf>
    <xf numFmtId="164" fontId="16" fillId="0" borderId="1" xfId="0" applyFont="true" applyBorder="true" applyAlignment="true" applyProtection="false">
      <alignment horizontal="general" vertical="center" textRotation="0" wrapText="false" indent="1" shrinkToFit="false"/>
      <protection locked="true" hidden="false"/>
    </xf>
    <xf numFmtId="169" fontId="35" fillId="0" borderId="1" xfId="0" applyFont="true" applyBorder="true" applyAlignment="true" applyProtection="false">
      <alignment horizontal="center" vertical="center" textRotation="0" wrapText="false" indent="0" shrinkToFit="false"/>
      <protection locked="true" hidden="false"/>
    </xf>
    <xf numFmtId="173" fontId="35" fillId="0" borderId="1" xfId="0" applyFont="true" applyBorder="true" applyAlignment="true" applyProtection="false">
      <alignment horizontal="center" vertical="center" textRotation="0" wrapText="false" indent="0" shrinkToFit="false"/>
      <protection locked="true" hidden="false"/>
    </xf>
    <xf numFmtId="174" fontId="12" fillId="0" borderId="1" xfId="0" applyFont="true" applyBorder="true" applyAlignment="true" applyProtection="false">
      <alignment horizontal="center" vertical="center" textRotation="0" wrapText="false" indent="0" shrinkToFit="false"/>
      <protection locked="true" hidden="false"/>
    </xf>
    <xf numFmtId="175" fontId="35" fillId="0" borderId="1" xfId="0" applyFont="true" applyBorder="true" applyAlignment="true" applyProtection="false">
      <alignment horizontal="center" vertical="center" textRotation="0" wrapText="false" indent="0" shrinkToFit="false"/>
      <protection locked="true" hidden="false"/>
    </xf>
    <xf numFmtId="176" fontId="12" fillId="0" borderId="1" xfId="0" applyFont="true" applyBorder="true" applyAlignment="true" applyProtection="false">
      <alignment horizontal="center" vertical="center" textRotation="0" wrapText="false" indent="0" shrinkToFit="false"/>
      <protection locked="true" hidden="false"/>
    </xf>
    <xf numFmtId="176" fontId="31" fillId="0" borderId="1" xfId="0" applyFont="true" applyBorder="true" applyAlignment="true" applyProtection="false">
      <alignment horizontal="center" vertical="center" textRotation="0" wrapText="false" indent="0" shrinkToFit="false"/>
      <protection locked="true" hidden="false"/>
    </xf>
    <xf numFmtId="164" fontId="33" fillId="0" borderId="1" xfId="0" applyFont="true" applyBorder="true" applyAlignment="true" applyProtection="false">
      <alignment horizontal="general" vertical="center" textRotation="0" wrapText="true" indent="0" shrinkToFit="false"/>
      <protection locked="true" hidden="false"/>
    </xf>
    <xf numFmtId="164" fontId="14" fillId="0" borderId="5" xfId="0" applyFont="true" applyBorder="true" applyAlignment="true" applyProtection="false">
      <alignment horizontal="general" vertical="center" textRotation="0" wrapText="false" indent="1" shrinkToFit="false"/>
      <protection locked="true" hidden="false"/>
    </xf>
    <xf numFmtId="169" fontId="31" fillId="0" borderId="6" xfId="0" applyFont="true" applyBorder="true" applyAlignment="true" applyProtection="false">
      <alignment horizontal="center" vertical="center" textRotation="0" wrapText="false" indent="0" shrinkToFit="false"/>
      <protection locked="true" hidden="false"/>
    </xf>
    <xf numFmtId="164" fontId="12" fillId="0" borderId="5" xfId="0" applyFont="true" applyBorder="true" applyAlignment="true" applyProtection="false">
      <alignment horizontal="general" vertical="center" textRotation="0" wrapText="false" indent="0" shrinkToFit="false"/>
      <protection locked="true" hidden="false"/>
    </xf>
    <xf numFmtId="176" fontId="31" fillId="0" borderId="6" xfId="0" applyFont="true" applyBorder="true" applyAlignment="true" applyProtection="false">
      <alignment horizontal="center" vertical="center" textRotation="0" wrapText="false" indent="0" shrinkToFit="false"/>
      <protection locked="true" hidden="false"/>
    </xf>
    <xf numFmtId="164" fontId="28" fillId="0" borderId="5" xfId="0" applyFont="true" applyBorder="true" applyAlignment="true" applyProtection="false">
      <alignment horizontal="general" vertical="center" textRotation="0" wrapText="true" indent="0" shrinkToFit="false"/>
      <protection locked="true" hidden="false"/>
    </xf>
    <xf numFmtId="169" fontId="36" fillId="0" borderId="1" xfId="0" applyFont="true" applyBorder="true" applyAlignment="true" applyProtection="false">
      <alignment horizontal="center" vertical="center" textRotation="0" wrapText="false" indent="0" shrinkToFit="false"/>
      <protection locked="true" hidden="false"/>
    </xf>
    <xf numFmtId="175" fontId="12" fillId="0" borderId="1" xfId="0" applyFont="true" applyBorder="true" applyAlignment="true" applyProtection="false">
      <alignment horizontal="center" vertical="center" textRotation="0" wrapText="false" indent="0" shrinkToFit="false"/>
      <protection locked="true" hidden="false"/>
    </xf>
    <xf numFmtId="175" fontId="31" fillId="0" borderId="6" xfId="0" applyFont="true" applyBorder="true" applyAlignment="true" applyProtection="false">
      <alignment horizontal="center" vertical="center" textRotation="0" wrapText="false" indent="0" shrinkToFit="false"/>
      <protection locked="true" hidden="false"/>
    </xf>
    <xf numFmtId="169" fontId="37" fillId="0" borderId="1" xfId="0" applyFont="true" applyBorder="true" applyAlignment="true" applyProtection="false">
      <alignment horizontal="center" vertical="center" textRotation="0" wrapText="false" indent="0" shrinkToFit="false"/>
      <protection locked="true" hidden="false"/>
    </xf>
    <xf numFmtId="164" fontId="33" fillId="0" borderId="0" xfId="0" applyFont="true" applyBorder="false" applyAlignment="true" applyProtection="false">
      <alignment horizontal="general" vertical="center" textRotation="0" wrapText="false" indent="0" shrinkToFit="false"/>
      <protection locked="true" hidden="false"/>
    </xf>
    <xf numFmtId="173" fontId="37" fillId="0" borderId="1" xfId="0" applyFont="true" applyBorder="true" applyAlignment="true" applyProtection="false">
      <alignment horizontal="center" vertical="center" textRotation="0" wrapText="false" indent="0" shrinkToFit="false"/>
      <protection locked="true" hidden="false"/>
    </xf>
    <xf numFmtId="174" fontId="31" fillId="0" borderId="0" xfId="0" applyFont="true" applyBorder="false" applyAlignment="true" applyProtection="false">
      <alignment horizontal="center" vertical="center" textRotation="0" wrapText="false" indent="0" shrinkToFit="false"/>
      <protection locked="true" hidden="false"/>
    </xf>
    <xf numFmtId="164" fontId="33" fillId="0" borderId="0" xfId="0" applyFont="true" applyBorder="true" applyAlignment="true" applyProtection="false">
      <alignment horizontal="general" vertical="center" textRotation="0" wrapText="false" indent="0" shrinkToFit="false"/>
      <protection locked="true" hidden="false"/>
    </xf>
    <xf numFmtId="166" fontId="35" fillId="0" borderId="1" xfId="0" applyFont="true" applyBorder="true" applyAlignment="true" applyProtection="false">
      <alignment horizontal="center" vertical="center" textRotation="0" wrapText="false" indent="0" shrinkToFit="false"/>
      <protection locked="true" hidden="false"/>
    </xf>
    <xf numFmtId="167" fontId="35" fillId="0" borderId="1" xfId="0" applyFont="true" applyBorder="true" applyAlignment="true" applyProtection="false">
      <alignment horizontal="center" vertical="center" textRotation="0" wrapText="false" indent="0" shrinkToFit="false"/>
      <protection locked="true" hidden="false"/>
    </xf>
    <xf numFmtId="174" fontId="36" fillId="0" borderId="1" xfId="0" applyFont="true" applyBorder="true" applyAlignment="true" applyProtection="false">
      <alignment horizontal="center" vertical="center" textRotation="0" wrapText="false" indent="0" shrinkToFit="false"/>
      <protection locked="true" hidden="false"/>
    </xf>
    <xf numFmtId="164" fontId="33" fillId="0" borderId="1" xfId="0" applyFont="true" applyBorder="true" applyAlignment="true" applyProtection="false">
      <alignment horizontal="general" vertical="center" textRotation="0" wrapText="false" indent="0" shrinkToFit="false"/>
      <protection locked="true" hidden="false"/>
    </xf>
    <xf numFmtId="167" fontId="31" fillId="0" borderId="6" xfId="0" applyFont="true" applyBorder="true" applyAlignment="true" applyProtection="false">
      <alignment horizontal="center" vertical="center" textRotation="0" wrapText="false" indent="0" shrinkToFit="false"/>
      <protection locked="true" hidden="false"/>
    </xf>
    <xf numFmtId="177" fontId="35" fillId="0" borderId="1" xfId="0" applyFont="true" applyBorder="true" applyAlignment="true" applyProtection="false">
      <alignment horizontal="center" vertical="center" textRotation="0" wrapText="false" indent="0" shrinkToFit="false"/>
      <protection locked="true" hidden="false"/>
    </xf>
    <xf numFmtId="169" fontId="12" fillId="0" borderId="1" xfId="0" applyFont="true" applyBorder="true" applyAlignment="true" applyProtection="false">
      <alignment horizontal="center" vertical="center" textRotation="0" wrapText="false" indent="0" shrinkToFit="false"/>
      <protection locked="true" hidden="false"/>
    </xf>
    <xf numFmtId="164" fontId="38" fillId="0" borderId="1" xfId="0" applyFont="true" applyBorder="true" applyAlignment="true" applyProtection="false">
      <alignment horizontal="center" vertical="center" textRotation="0" wrapText="false" indent="0" shrinkToFit="false"/>
      <protection locked="true" hidden="false"/>
    </xf>
    <xf numFmtId="166" fontId="31" fillId="0" borderId="6" xfId="0" applyFont="true" applyBorder="true" applyAlignment="true" applyProtection="false">
      <alignment horizontal="center" vertical="center" textRotation="0" wrapText="false" indent="0" shrinkToFit="false"/>
      <protection locked="true" hidden="false"/>
    </xf>
    <xf numFmtId="164" fontId="28" fillId="0" borderId="5" xfId="0" applyFont="true" applyBorder="true" applyAlignment="true" applyProtection="false">
      <alignment horizontal="general" vertical="center" textRotation="0" wrapText="false" indent="0" shrinkToFit="false"/>
      <protection locked="true" hidden="false"/>
    </xf>
    <xf numFmtId="164" fontId="15" fillId="0" borderId="0" xfId="0" applyFont="true" applyBorder="false" applyAlignment="true" applyProtection="false">
      <alignment horizontal="general" vertical="center" textRotation="0" wrapText="false" indent="1" shrinkToFit="false"/>
      <protection locked="true" hidden="false"/>
    </xf>
    <xf numFmtId="166" fontId="15" fillId="0" borderId="0" xfId="0" applyFont="true" applyBorder="false" applyAlignment="true" applyProtection="false">
      <alignment horizontal="center" vertical="center" textRotation="0" wrapText="false" indent="0" shrinkToFit="false"/>
      <protection locked="true" hidden="false"/>
    </xf>
    <xf numFmtId="164" fontId="15" fillId="0" borderId="0" xfId="0" applyFont="true" applyBorder="false" applyAlignment="true" applyProtection="false">
      <alignment horizontal="general" vertical="center" textRotation="0" wrapText="false" indent="0" shrinkToFit="false"/>
      <protection locked="true" hidden="false"/>
    </xf>
    <xf numFmtId="164" fontId="33" fillId="0" borderId="1" xfId="0" applyFont="true" applyBorder="true" applyAlignment="true" applyProtection="false">
      <alignment horizontal="center" vertical="center" textRotation="0" wrapText="false" indent="0" shrinkToFit="false"/>
      <protection locked="true" hidden="false"/>
    </xf>
    <xf numFmtId="178" fontId="35" fillId="0" borderId="1" xfId="0" applyFont="true" applyBorder="true" applyAlignment="true" applyProtection="false">
      <alignment horizontal="center" vertical="center" textRotation="0" wrapText="false" indent="0" shrinkToFit="false"/>
      <protection locked="true" hidden="false"/>
    </xf>
    <xf numFmtId="176" fontId="35" fillId="0" borderId="1" xfId="0" applyFont="true" applyBorder="true" applyAlignment="true" applyProtection="false">
      <alignment horizontal="center" vertical="center" textRotation="0" wrapText="false" indent="0" shrinkToFit="false"/>
      <protection locked="true" hidden="false"/>
    </xf>
    <xf numFmtId="179" fontId="37" fillId="0" borderId="1" xfId="0" applyFont="true" applyBorder="true" applyAlignment="true" applyProtection="false">
      <alignment horizontal="center" vertical="center" textRotation="0" wrapText="false" indent="0" shrinkToFit="false"/>
      <protection locked="true" hidden="false"/>
    </xf>
    <xf numFmtId="178" fontId="36" fillId="0" borderId="1" xfId="0" applyFont="true" applyBorder="true" applyAlignment="true" applyProtection="false">
      <alignment horizontal="center" vertical="center" textRotation="0" wrapText="false" indent="0" shrinkToFit="false"/>
      <protection locked="true" hidden="false"/>
    </xf>
    <xf numFmtId="180" fontId="35" fillId="0" borderId="1" xfId="0" applyFont="true" applyBorder="true" applyAlignment="true" applyProtection="false">
      <alignment horizontal="center" vertical="center" textRotation="0" wrapText="false" indent="0" shrinkToFit="false"/>
      <protection locked="true" hidden="false"/>
    </xf>
    <xf numFmtId="166" fontId="31" fillId="0" borderId="1" xfId="0" applyFont="true" applyBorder="true" applyAlignment="true" applyProtection="false">
      <alignment horizontal="center" vertical="center" textRotation="0" wrapText="false" indent="0" shrinkToFit="false"/>
      <protection locked="true" hidden="false"/>
    </xf>
    <xf numFmtId="167" fontId="12" fillId="0" borderId="1" xfId="0" applyFont="true" applyBorder="true" applyAlignment="true" applyProtection="false">
      <alignment horizontal="center" vertical="center" textRotation="0" wrapText="false" indent="0" shrinkToFit="false"/>
      <protection locked="true" hidden="false"/>
    </xf>
    <xf numFmtId="164" fontId="16" fillId="0" borderId="1" xfId="0" applyFont="true" applyBorder="true" applyAlignment="true" applyProtection="false">
      <alignment horizontal="general" vertical="center" textRotation="0" wrapText="false" indent="0" shrinkToFit="false"/>
      <protection locked="true" hidden="false"/>
    </xf>
    <xf numFmtId="164" fontId="15" fillId="0" borderId="0" xfId="0" applyFont="true" applyBorder="true" applyAlignment="true" applyProtection="false">
      <alignment horizontal="general" vertical="center" textRotation="0" wrapText="true" indent="0" shrinkToFit="false"/>
      <protection locked="true" hidden="false"/>
    </xf>
    <xf numFmtId="164" fontId="13" fillId="7" borderId="0" xfId="0" applyFont="true" applyBorder="true" applyAlignment="true" applyProtection="false">
      <alignment horizontal="general" vertical="center" textRotation="0" wrapText="false" indent="0" shrinkToFit="false"/>
      <protection locked="true" hidden="false"/>
    </xf>
    <xf numFmtId="164" fontId="39" fillId="3" borderId="1" xfId="0" applyFont="true" applyBorder="true" applyAlignment="true" applyProtection="false">
      <alignment horizontal="general" vertical="center" textRotation="0" wrapText="false" indent="0" shrinkToFit="false"/>
      <protection locked="true" hidden="false"/>
    </xf>
    <xf numFmtId="164" fontId="40" fillId="5" borderId="1" xfId="0" applyFont="true" applyBorder="true" applyAlignment="true" applyProtection="false">
      <alignment horizontal="center" vertical="center" textRotation="0" wrapText="false" indent="0" shrinkToFit="false"/>
      <protection locked="true" hidden="false"/>
    </xf>
    <xf numFmtId="164" fontId="41" fillId="0" borderId="0" xfId="0" applyFont="true" applyBorder="false" applyAlignment="true" applyProtection="false">
      <alignment horizontal="general" vertical="center" textRotation="0" wrapText="false" indent="1" shrinkToFit="false"/>
      <protection locked="true" hidden="false"/>
    </xf>
    <xf numFmtId="166" fontId="42" fillId="0" borderId="0" xfId="0" applyFont="true" applyBorder="false" applyAlignment="true" applyProtection="false">
      <alignment horizontal="center" vertical="center" textRotation="0" wrapText="false" indent="0" shrinkToFit="false"/>
      <protection locked="true" hidden="false"/>
    </xf>
    <xf numFmtId="171" fontId="42" fillId="0" borderId="0" xfId="0" applyFont="true" applyBorder="false" applyAlignment="true" applyProtection="false">
      <alignment horizontal="center" vertical="center" textRotation="0" wrapText="false" indent="0" shrinkToFit="false"/>
      <protection locked="true" hidden="false"/>
    </xf>
    <xf numFmtId="164" fontId="40" fillId="0" borderId="0" xfId="0" applyFont="true" applyBorder="false" applyAlignment="true" applyProtection="false">
      <alignment horizontal="general" vertical="center" textRotation="0" wrapText="false" indent="1" shrinkToFit="false"/>
      <protection locked="true" hidden="false"/>
    </xf>
    <xf numFmtId="166" fontId="43" fillId="0" borderId="0" xfId="0" applyFont="true" applyBorder="false" applyAlignment="true" applyProtection="false">
      <alignment horizontal="center" vertical="center" textRotation="0" wrapText="false" indent="0" shrinkToFit="false"/>
      <protection locked="true" hidden="false"/>
    </xf>
    <xf numFmtId="166" fontId="12" fillId="0" borderId="1" xfId="0" applyFont="true" applyBorder="true" applyAlignment="true" applyProtection="false">
      <alignment horizontal="center" vertical="center" textRotation="0" wrapText="false" indent="0" shrinkToFit="false"/>
      <protection locked="true" hidden="false"/>
    </xf>
    <xf numFmtId="164" fontId="33" fillId="0" borderId="2" xfId="0" applyFont="true" applyBorder="true" applyAlignment="true" applyProtection="false">
      <alignment horizontal="general" vertical="center" textRotation="0" wrapText="true" indent="0" shrinkToFit="false"/>
      <protection locked="true" hidden="false"/>
    </xf>
    <xf numFmtId="164" fontId="12" fillId="0" borderId="1" xfId="0" applyFont="true" applyBorder="true" applyAlignment="true" applyProtection="false">
      <alignment horizontal="general" vertical="center" textRotation="0" wrapText="false" indent="0" shrinkToFit="false"/>
      <protection locked="true" hidden="false"/>
    </xf>
    <xf numFmtId="167" fontId="31" fillId="0" borderId="1" xfId="0" applyFont="true" applyBorder="true" applyAlignment="true" applyProtection="false">
      <alignment horizontal="center" vertical="center" textRotation="0" wrapText="false" indent="0" shrinkToFit="false"/>
      <protection locked="true" hidden="false"/>
    </xf>
    <xf numFmtId="178" fontId="37" fillId="0" borderId="1" xfId="0" applyFont="true" applyBorder="true" applyAlignment="true" applyProtection="false">
      <alignment horizontal="center" vertical="center" textRotation="0" wrapText="false" indent="0" shrinkToFit="false"/>
      <protection locked="true" hidden="false"/>
    </xf>
    <xf numFmtId="164" fontId="15" fillId="0" borderId="0" xfId="0" applyFont="true" applyBorder="false" applyAlignment="true" applyProtection="false">
      <alignment horizontal="center" vertical="center" textRotation="0" wrapText="false" indent="0" shrinkToFit="false"/>
      <protection locked="true" hidden="false"/>
    </xf>
    <xf numFmtId="164" fontId="15" fillId="0" borderId="0" xfId="0" applyFont="true" applyBorder="false" applyAlignment="true" applyProtection="false">
      <alignment horizontal="general" vertical="center" textRotation="0" wrapText="true" indent="0" shrinkToFit="false"/>
      <protection locked="true" hidden="false"/>
    </xf>
    <xf numFmtId="181" fontId="37" fillId="0" borderId="1" xfId="0" applyFont="true" applyBorder="true" applyAlignment="true" applyProtection="false">
      <alignment horizontal="center" vertical="center" textRotation="0" wrapText="false" indent="0" shrinkToFit="false"/>
      <protection locked="true" hidden="false"/>
    </xf>
    <xf numFmtId="181" fontId="31" fillId="0" borderId="1" xfId="0" applyFont="true" applyBorder="true" applyAlignment="true" applyProtection="false">
      <alignment horizontal="center" vertical="center" textRotation="0" wrapText="false" indent="0" shrinkToFit="false"/>
      <protection locked="true" hidden="false"/>
    </xf>
    <xf numFmtId="178" fontId="31" fillId="0" borderId="6" xfId="0" applyFont="true" applyBorder="true" applyAlignment="true" applyProtection="false">
      <alignment horizontal="center" vertical="center" textRotation="0" wrapText="false" indent="0" shrinkToFit="false"/>
      <protection locked="true" hidden="false"/>
    </xf>
    <xf numFmtId="164" fontId="44" fillId="0" borderId="0" xfId="0" applyFont="true" applyBorder="true" applyAlignment="true" applyProtection="false">
      <alignment horizontal="general" vertical="center" textRotation="0" wrapText="true" indent="0" shrinkToFit="false"/>
      <protection locked="true" hidden="false"/>
    </xf>
    <xf numFmtId="177" fontId="37" fillId="0" borderId="1" xfId="0" applyFont="true" applyBorder="true" applyAlignment="true" applyProtection="false">
      <alignment horizontal="center" vertical="center" textRotation="0" wrapText="false" indent="0" shrinkToFit="false"/>
      <protection locked="true" hidden="false"/>
    </xf>
    <xf numFmtId="169" fontId="37" fillId="8" borderId="1" xfId="0" applyFont="true" applyBorder="true" applyAlignment="true" applyProtection="false">
      <alignment horizontal="center" vertical="center" textRotation="0" wrapText="false" indent="0" shrinkToFit="false"/>
      <protection locked="true" hidden="false"/>
    </xf>
    <xf numFmtId="166" fontId="37" fillId="0" borderId="1" xfId="0" applyFont="true" applyBorder="true" applyAlignment="true" applyProtection="false">
      <alignment horizontal="center" vertical="center" textRotation="0" wrapText="false" indent="0" shrinkToFit="false"/>
      <protection locked="true" hidden="false"/>
    </xf>
    <xf numFmtId="174" fontId="37" fillId="0" borderId="1" xfId="0" applyFont="true" applyBorder="true" applyAlignment="true" applyProtection="false">
      <alignment horizontal="center" vertical="center" textRotation="0" wrapText="false" indent="0" shrinkToFit="false"/>
      <protection locked="true" hidden="false"/>
    </xf>
    <xf numFmtId="175" fontId="37" fillId="0" borderId="1" xfId="0" applyFont="true" applyBorder="true" applyAlignment="true" applyProtection="false">
      <alignment horizontal="center" vertical="center" textRotation="0" wrapText="false" indent="0" shrinkToFit="false"/>
      <protection locked="true" hidden="false"/>
    </xf>
    <xf numFmtId="167" fontId="37" fillId="0" borderId="1" xfId="0" applyFont="true" applyBorder="true" applyAlignment="true" applyProtection="false">
      <alignment horizontal="center" vertical="center" textRotation="0" wrapText="false" indent="0" shrinkToFit="false"/>
      <protection locked="true" hidden="false"/>
    </xf>
    <xf numFmtId="166" fontId="45" fillId="0" borderId="1" xfId="0" applyFont="true" applyBorder="true" applyAlignment="true" applyProtection="false">
      <alignment horizontal="center" vertical="center" textRotation="0" wrapText="false" indent="0" shrinkToFit="false"/>
      <protection locked="true" hidden="false"/>
    </xf>
    <xf numFmtId="164" fontId="33" fillId="0" borderId="0" xfId="0" applyFont="true" applyBorder="false" applyAlignment="true" applyProtection="false">
      <alignment horizontal="center" vertical="center" textRotation="0" wrapText="false" indent="0" shrinkToFit="false"/>
      <protection locked="true" hidden="false"/>
    </xf>
    <xf numFmtId="164" fontId="44" fillId="0" borderId="0" xfId="0" applyFont="true" applyBorder="false" applyAlignment="true" applyProtection="false">
      <alignment horizontal="general" vertical="center" textRotation="0" wrapText="true" indent="0" shrinkToFit="false"/>
      <protection locked="true" hidden="false"/>
    </xf>
    <xf numFmtId="164" fontId="46" fillId="0" borderId="0" xfId="0" applyFont="true" applyBorder="false" applyAlignment="true" applyProtection="false">
      <alignment horizontal="center" vertical="center" textRotation="0" wrapText="false" indent="0" shrinkToFit="false"/>
      <protection locked="true" hidden="false"/>
    </xf>
    <xf numFmtId="164" fontId="9" fillId="4" borderId="2" xfId="0" applyFont="true" applyBorder="true" applyAlignment="true" applyProtection="false">
      <alignment horizontal="center" vertical="center" textRotation="0" wrapText="false" indent="0" shrinkToFit="false"/>
      <protection locked="true" hidden="false"/>
    </xf>
    <xf numFmtId="164" fontId="15" fillId="0" borderId="0" xfId="0" applyFont="true" applyBorder="true" applyAlignment="true" applyProtection="false">
      <alignment horizontal="general" vertical="center" textRotation="0" wrapText="false" indent="0" shrinkToFit="false"/>
      <protection locked="true" hidden="false"/>
    </xf>
    <xf numFmtId="164" fontId="47" fillId="0" borderId="1" xfId="0" applyFont="true" applyBorder="true" applyAlignment="true" applyProtection="false">
      <alignment horizontal="general" vertical="center" textRotation="0" wrapText="false" indent="1" shrinkToFit="false"/>
      <protection locked="true" hidden="false"/>
    </xf>
    <xf numFmtId="182" fontId="47" fillId="0" borderId="1" xfId="0" applyFont="true" applyBorder="true" applyAlignment="true" applyProtection="false">
      <alignment horizontal="center" vertical="center" textRotation="0" wrapText="false" indent="0" shrinkToFit="false"/>
      <protection locked="true" hidden="false"/>
    </xf>
    <xf numFmtId="164" fontId="24" fillId="0"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name val="Arial"/>
        <charset val="1"/>
        <family val="0"/>
        <b val="1"/>
        <color rgb="FFA8271B"/>
        <sz val="9"/>
      </font>
    </dxf>
    <dxf>
      <font>
        <name val="Arial"/>
        <charset val="1"/>
        <family val="0"/>
        <b val="1"/>
        <color rgb="FF8A9C00"/>
        <sz val="8"/>
      </font>
    </dxf>
    <dxf>
      <font>
        <name val="Arial"/>
        <charset val="1"/>
        <family val="0"/>
        <b val="1"/>
        <color rgb="FFA8271B"/>
        <sz val="8"/>
      </font>
      <fill>
        <patternFill>
          <bgColor rgb="FFF9E4E1"/>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A9C00"/>
      <rgbColor rgb="FF800080"/>
      <rgbColor rgb="FF008080"/>
      <rgbColor rgb="FFC7CDD1"/>
      <rgbColor rgb="FF878787"/>
      <rgbColor rgb="FF9999FF"/>
      <rgbColor rgb="FF993366"/>
      <rgbColor rgb="FFFFF7C4"/>
      <rgbColor rgb="FFF2F4F5"/>
      <rgbColor rgb="FF660066"/>
      <rgbColor rgb="FFFF8080"/>
      <rgbColor rgb="FF0066CC"/>
      <rgbColor rgb="FFC9CFD4"/>
      <rgbColor rgb="FF000080"/>
      <rgbColor rgb="FFFF00FF"/>
      <rgbColor rgb="FFFFFF00"/>
      <rgbColor rgb="FF00FFFF"/>
      <rgbColor rgb="FF800080"/>
      <rgbColor rgb="FF800000"/>
      <rgbColor rgb="FF008080"/>
      <rgbColor rgb="FF0000FF"/>
      <rgbColor rgb="FF00CCFF"/>
      <rgbColor rgb="FFCCFFFF"/>
      <rgbColor rgb="FFD9D9D9"/>
      <rgbColor rgb="FFF2F7CC"/>
      <rgbColor rgb="FF99CCFF"/>
      <rgbColor rgb="FFFF99CC"/>
      <rgbColor rgb="FFCC99FF"/>
      <rgbColor rgb="FFF9E4E1"/>
      <rgbColor rgb="FF3366FF"/>
      <rgbColor rgb="FF33CCCC"/>
      <rgbColor rgb="FFC3D600"/>
      <rgbColor rgb="FFFFCC00"/>
      <rgbColor rgb="FFFF9900"/>
      <rgbColor rgb="FFB26A00"/>
      <rgbColor rgb="FF5F6A73"/>
      <rgbColor rgb="FF969696"/>
      <rgbColor rgb="FF003366"/>
      <rgbColor rgb="FF339966"/>
      <rgbColor rgb="FF003300"/>
      <rgbColor rgb="FF1F2429"/>
      <rgbColor rgb="FFA8271B"/>
      <rgbColor rgb="FF993366"/>
      <rgbColor rgb="FF333399"/>
      <rgbColor rgb="FF343C44"/>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barChart>
        <c:barDir val="col"/>
        <c:grouping val="clustered"/>
        <c:varyColors val="0"/>
        <c:ser>
          <c:idx val="0"/>
          <c:order val="0"/>
          <c:tx>
            <c:strRef>
              <c:f>Appraisal!A30</c:f>
              <c:strCache>
                <c:ptCount val="1"/>
                <c:pt idx="0">
                  <c:v>Cumulative present value</c:v>
                </c:pt>
              </c:strCache>
            </c:strRef>
          </c:tx>
          <c:spPr>
            <a:solidFill>
              <a:srgbClr val="8a9c00"/>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Appraisal!$B$4:$K$4</c:f>
              <c:strCache>
                <c:ptCount val="10"/>
                <c:pt idx="0">
                  <c:v>FY2026</c:v>
                </c:pt>
                <c:pt idx="1">
                  <c:v>FY2027</c:v>
                </c:pt>
                <c:pt idx="2">
                  <c:v>FY2028</c:v>
                </c:pt>
                <c:pt idx="3">
                  <c:v>FY2029</c:v>
                </c:pt>
                <c:pt idx="4">
                  <c:v>FY2030</c:v>
                </c:pt>
                <c:pt idx="5">
                  <c:v>FY2031</c:v>
                </c:pt>
                <c:pt idx="6">
                  <c:v>FY2032</c:v>
                </c:pt>
                <c:pt idx="7">
                  <c:v>FY2033</c:v>
                </c:pt>
                <c:pt idx="8">
                  <c:v>FY2034</c:v>
                </c:pt>
                <c:pt idx="9">
                  <c:v>FY2035</c:v>
                </c:pt>
              </c:strCache>
            </c:strRef>
          </c:cat>
          <c:val>
            <c:numRef>
              <c:f>Appraisal!$B$30:$K$30</c:f>
              <c:numCache>
                <c:formatCode>#,##0;\(#,##0\);\-</c:formatCode>
                <c:ptCount val="10"/>
                <c:pt idx="0">
                  <c:v>-1668.02789939819</c:v>
                </c:pt>
                <c:pt idx="1">
                  <c:v>-1645.71952821452</c:v>
                </c:pt>
                <c:pt idx="2">
                  <c:v>-1381.28598306571</c:v>
                </c:pt>
                <c:pt idx="3">
                  <c:v>-1142.41195854103</c:v>
                </c:pt>
                <c:pt idx="4">
                  <c:v>-926.626931870145</c:v>
                </c:pt>
                <c:pt idx="5">
                  <c:v>-786.013162973533</c:v>
                </c:pt>
                <c:pt idx="6">
                  <c:v>-609.926661886267</c:v>
                </c:pt>
                <c:pt idx="7">
                  <c:v>-450.860265240138</c:v>
                </c:pt>
                <c:pt idx="8">
                  <c:v>-307.168850022315</c:v>
                </c:pt>
                <c:pt idx="9">
                  <c:v>-70.3859797897492</c:v>
                </c:pt>
              </c:numCache>
            </c:numRef>
          </c:val>
        </c:ser>
        <c:gapWidth val="40"/>
        <c:overlap val="0"/>
        <c:axId val="55910003"/>
        <c:axId val="87920250"/>
      </c:barChart>
      <c:catAx>
        <c:axId val="55910003"/>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7920250"/>
        <c:crosses val="autoZero"/>
        <c:auto val="1"/>
        <c:lblAlgn val="ctr"/>
        <c:lblOffset val="100"/>
        <c:noMultiLvlLbl val="0"/>
      </c:catAx>
      <c:valAx>
        <c:axId val="87920250"/>
        <c:scaling>
          <c:orientation val="minMax"/>
        </c:scaling>
        <c:delete val="0"/>
        <c:axPos val="l"/>
        <c:majorGridlines>
          <c:spPr>
            <a:ln w="9360">
              <a:solidFill>
                <a:srgbClr val="878787"/>
              </a:solidFill>
              <a:round/>
            </a:ln>
          </c:spPr>
        </c:majorGridlines>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5910003"/>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barChart>
        <c:barDir val="bar"/>
        <c:grouping val="clustered"/>
        <c:varyColors val="0"/>
        <c:ser>
          <c:idx val="0"/>
          <c:order val="0"/>
          <c:spPr>
            <a:solidFill>
              <a:srgbClr val="5f6a73"/>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Scenarios!$B$6:$B$17</c:f>
              <c:strCache>
                <c:ptCount val="12"/>
                <c:pt idx="0">
                  <c:v>1   Base case</c:v>
                </c:pt>
                <c:pt idx="1">
                  <c:v>2   Platform not awarded</c:v>
                </c:pt>
                <c:pt idx="2">
                  <c:v>3   Platform delayed twelve months</c:v>
                </c:pt>
                <c:pt idx="3">
                  <c:v>4   Platform volume down 15%</c:v>
                </c:pt>
                <c:pt idx="4">
                  <c:v>5   Contribution per unit down 10%</c:v>
                </c:pt>
                <c:pt idx="5">
                  <c:v>6   Insourcing saving down 25%</c:v>
                </c:pt>
                <c:pt idx="6">
                  <c:v>7   Capital cost up 10%</c:v>
                </c:pt>
                <c:pt idx="7">
                  <c:v>8   Capital cost down 5%</c:v>
                </c:pt>
                <c:pt idx="8">
                  <c:v>9   Discounted at the group hurdle rate</c:v>
                </c:pt>
                <c:pt idx="9">
                  <c:v>10  Milestone 2 deferred three weeks</c:v>
                </c:pt>
                <c:pt idx="10">
                  <c:v>11  Management case</c:v>
                </c:pt>
                <c:pt idx="11">
                  <c:v>12  Combined downside</c:v>
                </c:pt>
              </c:strCache>
            </c:strRef>
          </c:cat>
          <c:val>
            <c:numRef>
              <c:f>Scenarios!$I$6:$I$17</c:f>
              <c:numCache>
                <c:formatCode>#,##0;\(#,##0\);\-</c:formatCode>
                <c:ptCount val="12"/>
                <c:pt idx="0">
                  <c:v>-70.3859797897492</c:v>
                </c:pt>
                <c:pt idx="1">
                  <c:v>-1545.7886661414</c:v>
                </c:pt>
                <c:pt idx="2">
                  <c:v>-363.788581776424</c:v>
                </c:pt>
                <c:pt idx="3">
                  <c:v>-291.696382742497</c:v>
                </c:pt>
                <c:pt idx="4">
                  <c:v>-217.926248424914</c:v>
                </c:pt>
                <c:pt idx="5">
                  <c:v>-175.294594716022</c:v>
                </c:pt>
                <c:pt idx="6">
                  <c:v>-227.793213221447</c:v>
                </c:pt>
                <c:pt idx="7">
                  <c:v>8.31763692609994</c:v>
                </c:pt>
                <c:pt idx="8">
                  <c:v>-162.662345018333</c:v>
                </c:pt>
                <c:pt idx="9">
                  <c:v>-88.267524605275</c:v>
                </c:pt>
                <c:pt idx="10">
                  <c:v>8.31763692609994</c:v>
                </c:pt>
                <c:pt idx="11">
                  <c:v>-897.44204775594</c:v>
                </c:pt>
              </c:numCache>
            </c:numRef>
          </c:val>
        </c:ser>
        <c:gapWidth val="60"/>
        <c:overlap val="0"/>
        <c:axId val="62221081"/>
        <c:axId val="54178013"/>
      </c:barChart>
      <c:catAx>
        <c:axId val="62221081"/>
        <c:scaling>
          <c:orientation val="minMax"/>
        </c:scaling>
        <c:delete val="0"/>
        <c:axPos val="b"/>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4178013"/>
        <c:crosses val="autoZero"/>
        <c:auto val="1"/>
        <c:lblAlgn val="ctr"/>
        <c:lblOffset val="100"/>
        <c:noMultiLvlLbl val="0"/>
      </c:catAx>
      <c:valAx>
        <c:axId val="54178013"/>
        <c:scaling>
          <c:orientation val="minMax"/>
        </c:scaling>
        <c:delete val="0"/>
        <c:axPos val="l"/>
        <c:majorGridlines>
          <c:spPr>
            <a:ln w="9360">
              <a:solidFill>
                <a:srgbClr val="878787"/>
              </a:solidFill>
              <a:round/>
            </a:ln>
          </c:spPr>
        </c:majorGridlines>
        <c:numFmt formatCode="#,##0;\(#,##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2221081"/>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23</xdr:row>
      <xdr:rowOff>0</xdr:rowOff>
    </xdr:from>
    <xdr:to>
      <xdr:col>11</xdr:col>
      <xdr:colOff>220320</xdr:colOff>
      <xdr:row>36</xdr:row>
      <xdr:rowOff>43200</xdr:rowOff>
    </xdr:to>
    <xdr:graphicFrame>
      <xdr:nvGraphicFramePr>
        <xdr:cNvPr id="0" name="Chart 1"/>
        <xdr:cNvGraphicFramePr/>
      </xdr:nvGraphicFramePr>
      <xdr:xfrm>
        <a:off x="141120" y="5553000"/>
        <a:ext cx="5579640" cy="251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39</xdr:row>
      <xdr:rowOff>0</xdr:rowOff>
    </xdr:from>
    <xdr:to>
      <xdr:col>11</xdr:col>
      <xdr:colOff>220320</xdr:colOff>
      <xdr:row>56</xdr:row>
      <xdr:rowOff>1080</xdr:rowOff>
    </xdr:to>
    <xdr:graphicFrame>
      <xdr:nvGraphicFramePr>
        <xdr:cNvPr id="1" name="Chart 2"/>
        <xdr:cNvGraphicFramePr/>
      </xdr:nvGraphicFramePr>
      <xdr:xfrm>
        <a:off x="141120" y="8620200"/>
        <a:ext cx="5579640" cy="323964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1.vml"/>
</Relationships>
</file>

<file path=xl/worksheets/_rels/sheet8.xml.rels><?xml version="1.0" encoding="UTF-8"?>
<Relationships xmlns="http://schemas.openxmlformats.org/package/2006/relationships"><Relationship Id="rId1" Type="http://schemas.openxmlformats.org/officeDocument/2006/relationships/comments" Target="../comments8.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4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5" min="2" style="0" width="30"/>
    <col collapsed="false" customWidth="true" hidden="false" outlineLevel="0" max="6" min="6" style="0" width="3"/>
  </cols>
  <sheetData>
    <row r="1" customFormat="false" ht="15" hidden="false" customHeight="false" outlineLevel="0" collapsed="false">
      <c r="A1" s="1"/>
      <c r="B1" s="1"/>
      <c r="C1" s="1"/>
      <c r="D1" s="1"/>
      <c r="E1" s="1"/>
      <c r="F1" s="1"/>
    </row>
    <row r="2" customFormat="false" ht="15" hidden="false" customHeight="false" outlineLevel="0" collapsed="false">
      <c r="A2" s="1"/>
      <c r="B2" s="1"/>
      <c r="C2" s="1"/>
      <c r="D2" s="1"/>
      <c r="E2" s="1"/>
      <c r="F2" s="1"/>
    </row>
    <row r="3" customFormat="false" ht="21.75" hidden="false" customHeight="true" outlineLevel="0" collapsed="false">
      <c r="A3" s="1"/>
      <c r="B3" s="2" t="s">
        <v>0</v>
      </c>
      <c r="C3" s="2"/>
      <c r="D3" s="2"/>
      <c r="E3" s="2"/>
      <c r="F3" s="1"/>
    </row>
    <row r="4" customFormat="false" ht="30" hidden="false" customHeight="true" outlineLevel="0" collapsed="false">
      <c r="A4" s="1"/>
      <c r="B4" s="3" t="s">
        <v>1</v>
      </c>
      <c r="C4" s="3"/>
      <c r="D4" s="3"/>
      <c r="E4" s="3"/>
      <c r="F4" s="1"/>
    </row>
    <row r="5" customFormat="false" ht="13.5" hidden="false" customHeight="true" outlineLevel="0" collapsed="false">
      <c r="A5" s="1"/>
      <c r="B5" s="3"/>
      <c r="C5" s="3"/>
      <c r="D5" s="3"/>
      <c r="E5" s="3"/>
      <c r="F5" s="1"/>
    </row>
    <row r="6" customFormat="false" ht="18" hidden="false" customHeight="true" outlineLevel="0" collapsed="false">
      <c r="A6" s="1"/>
      <c r="B6" s="4" t="s">
        <v>2</v>
      </c>
      <c r="C6" s="4"/>
      <c r="D6" s="4"/>
      <c r="E6" s="4"/>
      <c r="F6" s="1"/>
    </row>
    <row r="7" customFormat="false" ht="15.75" hidden="false" customHeight="true" outlineLevel="0" collapsed="false">
      <c r="A7" s="1"/>
      <c r="B7" s="5" t="s">
        <v>3</v>
      </c>
      <c r="C7" s="5"/>
      <c r="D7" s="5"/>
      <c r="E7" s="5"/>
      <c r="F7" s="1"/>
    </row>
    <row r="8" customFormat="false" ht="9.75" hidden="false" customHeight="true" outlineLevel="0" collapsed="false">
      <c r="A8" s="1"/>
      <c r="B8" s="1"/>
      <c r="C8" s="1"/>
      <c r="D8" s="1"/>
      <c r="E8" s="1"/>
      <c r="F8" s="1"/>
    </row>
    <row r="10" customFormat="false" ht="15" hidden="false" customHeight="false" outlineLevel="0" collapsed="false">
      <c r="B10" s="6" t="s">
        <v>4</v>
      </c>
      <c r="C10" s="7" t="s">
        <v>5</v>
      </c>
      <c r="D10" s="6" t="s">
        <v>6</v>
      </c>
      <c r="E10" s="8" t="n">
        <v>46227</v>
      </c>
    </row>
    <row r="11" customFormat="false" ht="15" hidden="false" customHeight="false" outlineLevel="0" collapsed="false">
      <c r="B11" s="6" t="s">
        <v>7</v>
      </c>
      <c r="C11" s="9" t="s">
        <v>8</v>
      </c>
      <c r="D11" s="6" t="s">
        <v>9</v>
      </c>
      <c r="E11" s="9" t="s">
        <v>10</v>
      </c>
    </row>
    <row r="13" customFormat="false" ht="16.5" hidden="false" customHeight="true" outlineLevel="0" collapsed="false">
      <c r="B13" s="10" t="s">
        <v>11</v>
      </c>
      <c r="C13" s="10"/>
      <c r="D13" s="10"/>
      <c r="E13" s="10"/>
    </row>
    <row r="14" customFormat="false" ht="75.75" hidden="false" customHeight="true" outlineLevel="0" collapsed="false">
      <c r="B14" s="11" t="s">
        <v>12</v>
      </c>
      <c r="C14" s="11"/>
      <c r="D14" s="11"/>
      <c r="E14" s="11"/>
    </row>
    <row r="16" customFormat="false" ht="16.5" hidden="false" customHeight="true" outlineLevel="0" collapsed="false">
      <c r="B16" s="10" t="s">
        <v>13</v>
      </c>
      <c r="C16" s="10"/>
      <c r="D16" s="10"/>
      <c r="E16" s="10"/>
    </row>
    <row r="17" customFormat="false" ht="15.75" hidden="false" customHeight="true" outlineLevel="0" collapsed="false">
      <c r="B17" s="12" t="s">
        <v>14</v>
      </c>
      <c r="C17" s="12" t="s">
        <v>15</v>
      </c>
      <c r="D17" s="12"/>
      <c r="E17" s="12"/>
    </row>
    <row r="18" customFormat="false" ht="27.75" hidden="false" customHeight="true" outlineLevel="0" collapsed="false">
      <c r="B18" s="13" t="s">
        <v>16</v>
      </c>
      <c r="C18" s="14" t="s">
        <v>17</v>
      </c>
      <c r="D18" s="14"/>
      <c r="E18" s="14"/>
    </row>
    <row r="19" customFormat="false" ht="27.75" hidden="false" customHeight="true" outlineLevel="0" collapsed="false">
      <c r="B19" s="13" t="s">
        <v>18</v>
      </c>
      <c r="C19" s="14" t="s">
        <v>19</v>
      </c>
      <c r="D19" s="14"/>
      <c r="E19" s="14"/>
    </row>
    <row r="20" customFormat="false" ht="27.75" hidden="false" customHeight="true" outlineLevel="0" collapsed="false">
      <c r="B20" s="13" t="s">
        <v>20</v>
      </c>
      <c r="C20" s="14" t="s">
        <v>21</v>
      </c>
      <c r="D20" s="14"/>
      <c r="E20" s="14"/>
    </row>
    <row r="21" customFormat="false" ht="16.5" hidden="false" customHeight="true" outlineLevel="0" collapsed="false">
      <c r="B21" s="13" t="s">
        <v>22</v>
      </c>
      <c r="C21" s="14" t="s">
        <v>23</v>
      </c>
      <c r="D21" s="14"/>
      <c r="E21" s="14"/>
    </row>
    <row r="22" customFormat="false" ht="16.5" hidden="false" customHeight="true" outlineLevel="0" collapsed="false">
      <c r="B22" s="13" t="s">
        <v>24</v>
      </c>
      <c r="C22" s="14" t="s">
        <v>25</v>
      </c>
      <c r="D22" s="14"/>
      <c r="E22" s="14"/>
    </row>
    <row r="23" customFormat="false" ht="27.75" hidden="false" customHeight="true" outlineLevel="0" collapsed="false">
      <c r="B23" s="13" t="s">
        <v>26</v>
      </c>
      <c r="C23" s="14" t="s">
        <v>27</v>
      </c>
      <c r="D23" s="14"/>
      <c r="E23" s="14"/>
    </row>
    <row r="24" customFormat="false" ht="16.5" hidden="false" customHeight="true" outlineLevel="0" collapsed="false">
      <c r="B24" s="13" t="s">
        <v>28</v>
      </c>
      <c r="C24" s="14" t="s">
        <v>29</v>
      </c>
      <c r="D24" s="14"/>
      <c r="E24" s="14"/>
    </row>
    <row r="25" customFormat="false" ht="16.5" hidden="false" customHeight="true" outlineLevel="0" collapsed="false">
      <c r="B25" s="13" t="s">
        <v>30</v>
      </c>
      <c r="C25" s="14" t="s">
        <v>31</v>
      </c>
      <c r="D25" s="14"/>
      <c r="E25" s="14"/>
    </row>
    <row r="27" customFormat="false" ht="16.5" hidden="false" customHeight="true" outlineLevel="0" collapsed="false">
      <c r="B27" s="10" t="s">
        <v>32</v>
      </c>
      <c r="C27" s="10"/>
      <c r="D27" s="10"/>
      <c r="E27" s="10"/>
    </row>
    <row r="28" customFormat="false" ht="16.5" hidden="false" customHeight="true" outlineLevel="0" collapsed="false">
      <c r="B28" s="13" t="s">
        <v>33</v>
      </c>
      <c r="C28" s="14" t="s">
        <v>34</v>
      </c>
      <c r="D28" s="14"/>
      <c r="E28" s="14"/>
    </row>
    <row r="29" customFormat="false" ht="16.5" hidden="false" customHeight="true" outlineLevel="0" collapsed="false">
      <c r="B29" s="13" t="s">
        <v>35</v>
      </c>
      <c r="C29" s="14" t="s">
        <v>36</v>
      </c>
      <c r="D29" s="14"/>
      <c r="E29" s="14"/>
    </row>
    <row r="30" customFormat="false" ht="16.5" hidden="false" customHeight="true" outlineLevel="0" collapsed="false">
      <c r="B30" s="13" t="s">
        <v>37</v>
      </c>
      <c r="C30" s="14" t="s">
        <v>38</v>
      </c>
      <c r="D30" s="14"/>
      <c r="E30" s="14"/>
    </row>
    <row r="31" customFormat="false" ht="16.5" hidden="false" customHeight="true" outlineLevel="0" collapsed="false">
      <c r="B31" s="13" t="s">
        <v>39</v>
      </c>
      <c r="C31" s="14" t="s">
        <v>40</v>
      </c>
      <c r="D31" s="14"/>
      <c r="E31" s="14"/>
    </row>
    <row r="33" customFormat="false" ht="16.5" hidden="false" customHeight="true" outlineLevel="0" collapsed="false">
      <c r="B33" s="10" t="s">
        <v>41</v>
      </c>
      <c r="C33" s="10"/>
      <c r="D33" s="10"/>
      <c r="E33" s="10"/>
    </row>
    <row r="34" customFormat="false" ht="16.5" hidden="false" customHeight="true" outlineLevel="0" collapsed="false">
      <c r="B34" s="13" t="s">
        <v>42</v>
      </c>
      <c r="C34" s="14" t="s">
        <v>43</v>
      </c>
      <c r="D34" s="14"/>
      <c r="E34" s="14"/>
    </row>
    <row r="35" customFormat="false" ht="16.5" hidden="false" customHeight="true" outlineLevel="0" collapsed="false">
      <c r="B35" s="13" t="s">
        <v>44</v>
      </c>
      <c r="C35" s="14" t="s">
        <v>45</v>
      </c>
      <c r="D35" s="14"/>
      <c r="E35" s="14"/>
    </row>
    <row r="36" customFormat="false" ht="16.5" hidden="false" customHeight="true" outlineLevel="0" collapsed="false">
      <c r="B36" s="13" t="s">
        <v>46</v>
      </c>
      <c r="C36" s="14" t="s">
        <v>47</v>
      </c>
      <c r="D36" s="14"/>
      <c r="E36" s="14"/>
    </row>
    <row r="37" customFormat="false" ht="16.5" hidden="false" customHeight="true" outlineLevel="0" collapsed="false">
      <c r="B37" s="13" t="s">
        <v>48</v>
      </c>
      <c r="C37" s="14" t="s">
        <v>49</v>
      </c>
      <c r="D37" s="14"/>
      <c r="E37" s="14"/>
    </row>
    <row r="38" customFormat="false" ht="27.75" hidden="false" customHeight="true" outlineLevel="0" collapsed="false">
      <c r="B38" s="13" t="s">
        <v>50</v>
      </c>
      <c r="C38" s="14" t="s">
        <v>51</v>
      </c>
      <c r="D38" s="14"/>
      <c r="E38" s="14"/>
    </row>
    <row r="40" customFormat="false" ht="45.75" hidden="false" customHeight="true" outlineLevel="0" collapsed="false">
      <c r="B40" s="15" t="s">
        <v>52</v>
      </c>
      <c r="C40" s="15"/>
      <c r="D40" s="15"/>
      <c r="E40" s="15"/>
    </row>
  </sheetData>
  <mergeCells count="27">
    <mergeCell ref="B3:E3"/>
    <mergeCell ref="B4:E5"/>
    <mergeCell ref="B6:E6"/>
    <mergeCell ref="B7:E7"/>
    <mergeCell ref="B13:E13"/>
    <mergeCell ref="B14:E14"/>
    <mergeCell ref="B16:E16"/>
    <mergeCell ref="C18:E18"/>
    <mergeCell ref="C19:E19"/>
    <mergeCell ref="C20:E20"/>
    <mergeCell ref="C21:E21"/>
    <mergeCell ref="C22:E22"/>
    <mergeCell ref="C23:E23"/>
    <mergeCell ref="C24:E24"/>
    <mergeCell ref="C25:E25"/>
    <mergeCell ref="B27:E27"/>
    <mergeCell ref="C28:E28"/>
    <mergeCell ref="C29:E29"/>
    <mergeCell ref="C30:E30"/>
    <mergeCell ref="C31:E31"/>
    <mergeCell ref="B33:E33"/>
    <mergeCell ref="C34:E34"/>
    <mergeCell ref="C35:E35"/>
    <mergeCell ref="C36:E36"/>
    <mergeCell ref="C37:E37"/>
    <mergeCell ref="C38:E38"/>
    <mergeCell ref="B40:E40"/>
  </mergeCells>
  <printOptions headings="false" gridLines="false" gridLinesSet="true" horizontalCentered="false" verticalCentered="false"/>
  <pageMargins left="0.3" right="0.3" top="1" bottom="1" header="0.5" footer="0.5"/>
  <pageSetup paperSize="9" scale="100" fitToWidth="1" fitToHeight="1" pageOrder="downThenOver" orientation="portrait" blackAndWhite="false" draft="false" cellComments="none" horizontalDpi="300" verticalDpi="300" copies="1"/>
  <headerFooter differentFirst="false" differentOddEven="false">
    <oddHeader>&amp;L&amp;"Arial,Bold"&amp;9Halcyon Metalworks Kft.&amp;R&amp;"Arial,Regular"&amp;9CAPITAL INVESTMENT APPRAISAL</oddHeader>
    <oddFooter>&amp;L&amp;"Arial,Regular"&amp;8Illustrative sample, fictional data - prepared by Tarlan Charkasov, ACCA&amp;R&amp;"Arial,Regular"&amp;8Page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P7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16" min="2" style="0" width="7.61"/>
  </cols>
  <sheetData>
    <row r="1" customFormat="false" ht="27.75" hidden="false" customHeight="true" outlineLevel="0" collapsed="false">
      <c r="A1" s="16" t="s">
        <v>53</v>
      </c>
      <c r="B1" s="16"/>
      <c r="C1" s="16"/>
      <c r="D1" s="16"/>
      <c r="E1" s="16"/>
      <c r="F1" s="16"/>
      <c r="G1" s="16"/>
      <c r="H1" s="16"/>
      <c r="I1" s="16"/>
      <c r="J1" s="16"/>
      <c r="K1" s="16"/>
      <c r="L1" s="16"/>
      <c r="M1" s="16"/>
      <c r="N1" s="16"/>
      <c r="O1" s="16"/>
      <c r="P1" s="16"/>
    </row>
    <row r="2" customFormat="false" ht="15.75" hidden="false" customHeight="true" outlineLevel="0" collapsed="false">
      <c r="A2" s="17" t="str">
        <f aca="false">"5-axis machining centre, programme P-4471  |  EUR '000  |  appraisal date "&amp;TEXT(Assumptions!$B$5,"dd-mmm-yy")&amp;"  |  discounted at "&amp;TEXT(WACC!$B$22,"0.0%")&amp;" WACC, group hurdle "&amp;TEXT(WACC!$B$23,"0.0%")</f>
        <v>5-axis machining centre, programme P-4471  |  EUR '000  |  appraisal date 24-Jul-26  |  discounted at 10.7% WACC, group hurdle 12.0%</v>
      </c>
      <c r="B2" s="17"/>
      <c r="C2" s="17"/>
      <c r="D2" s="17"/>
      <c r="E2" s="17"/>
      <c r="F2" s="17"/>
      <c r="G2" s="17"/>
      <c r="H2" s="17"/>
      <c r="I2" s="17"/>
      <c r="J2" s="17"/>
      <c r="K2" s="17"/>
      <c r="L2" s="17"/>
      <c r="M2" s="17"/>
      <c r="N2" s="17"/>
      <c r="O2" s="17"/>
      <c r="P2" s="17"/>
    </row>
    <row r="3" customFormat="false" ht="6" hidden="false" customHeight="true" outlineLevel="0" collapsed="false"/>
    <row r="5" customFormat="false" ht="15.75" hidden="false" customHeight="true" outlineLevel="0" collapsed="false">
      <c r="B5" s="18" t="s">
        <v>54</v>
      </c>
      <c r="C5" s="18"/>
      <c r="D5" s="18"/>
      <c r="E5" s="18"/>
      <c r="F5" s="18"/>
      <c r="G5" s="18" t="s">
        <v>55</v>
      </c>
      <c r="H5" s="18"/>
      <c r="I5" s="18"/>
      <c r="J5" s="18"/>
      <c r="K5" s="18"/>
      <c r="L5" s="18" t="s">
        <v>56</v>
      </c>
      <c r="M5" s="18"/>
      <c r="N5" s="18"/>
      <c r="O5" s="18"/>
      <c r="P5" s="18"/>
    </row>
    <row r="6" customFormat="false" ht="19.5" hidden="false" customHeight="true" outlineLevel="0" collapsed="false">
      <c r="B6" s="19" t="n">
        <f aca="false">Appraisal!$B$34</f>
        <v>-70.3859797897492</v>
      </c>
      <c r="C6" s="19"/>
      <c r="D6" s="19"/>
      <c r="E6" s="19"/>
      <c r="F6" s="19"/>
      <c r="G6" s="20" t="n">
        <f aca="false">Appraisal!$B$36</f>
        <v>0.0978785949966719</v>
      </c>
      <c r="H6" s="20"/>
      <c r="I6" s="20"/>
      <c r="J6" s="20"/>
      <c r="K6" s="20"/>
      <c r="L6" s="19" t="n">
        <f aca="false">Appraisal!$B$35</f>
        <v>-162.662345018333</v>
      </c>
      <c r="M6" s="19"/>
      <c r="N6" s="19"/>
      <c r="O6" s="19"/>
      <c r="P6" s="19"/>
    </row>
    <row r="7" customFormat="false" ht="13.5" hidden="false" customHeight="true" outlineLevel="0" collapsed="false">
      <c r="B7" s="19"/>
      <c r="C7" s="19"/>
      <c r="D7" s="19"/>
      <c r="E7" s="19"/>
      <c r="F7" s="19"/>
      <c r="G7" s="20"/>
      <c r="H7" s="20"/>
      <c r="I7" s="20"/>
      <c r="J7" s="20"/>
      <c r="K7" s="20"/>
      <c r="L7" s="19"/>
      <c r="M7" s="19"/>
      <c r="N7" s="19"/>
      <c r="O7" s="19"/>
      <c r="P7" s="19"/>
    </row>
    <row r="8" customFormat="false" ht="21.75" hidden="false" customHeight="true" outlineLevel="0" collapsed="false">
      <c r="B8" s="21" t="str">
        <f aca="false">"Profitability index "&amp;TEXT(Appraisal!$B$40,"0.00")&amp;"x on capital of "&amp;TEXT(Assumptions!$B$17,"#,##0")&amp;"k"</f>
        <v>Profitability index 0.91x on capital of 1,830k</v>
      </c>
      <c r="C8" s="21"/>
      <c r="D8" s="21"/>
      <c r="E8" s="21"/>
      <c r="F8" s="21"/>
      <c r="G8" s="21" t="str">
        <f aca="false">"Against a WACC of "&amp;TEXT(WACC!$B$22,"0.0%")&amp;" and a hurdle of "&amp;TEXT(WACC!$B$23,"0.0%")</f>
        <v>Against a WACC of 10.7% and a hurdle of 12.0%</v>
      </c>
      <c r="H8" s="21"/>
      <c r="I8" s="21"/>
      <c r="J8" s="21"/>
      <c r="K8" s="21"/>
      <c r="L8" s="21" t="str">
        <f aca="false">"The rate the group applies to discretionary capacity"</f>
        <v>The rate the group applies to discretionary capacity</v>
      </c>
      <c r="M8" s="21"/>
      <c r="N8" s="21"/>
      <c r="O8" s="21"/>
      <c r="P8" s="21"/>
    </row>
    <row r="9" customFormat="false" ht="6" hidden="false" customHeight="true" outlineLevel="0" collapsed="false"/>
    <row r="10" customFormat="false" ht="15.75" hidden="false" customHeight="true" outlineLevel="0" collapsed="false">
      <c r="B10" s="18" t="s">
        <v>57</v>
      </c>
      <c r="C10" s="18"/>
      <c r="D10" s="18"/>
      <c r="E10" s="18"/>
      <c r="F10" s="18"/>
      <c r="G10" s="18" t="s">
        <v>58</v>
      </c>
      <c r="H10" s="18"/>
      <c r="I10" s="18"/>
      <c r="J10" s="18"/>
      <c r="K10" s="18"/>
      <c r="L10" s="18" t="s">
        <v>59</v>
      </c>
      <c r="M10" s="18"/>
      <c r="N10" s="18"/>
      <c r="O10" s="18"/>
      <c r="P10" s="18"/>
    </row>
    <row r="11" customFormat="false" ht="19.5" hidden="false" customHeight="true" outlineLevel="0" collapsed="false">
      <c r="B11" s="22" t="n">
        <f aca="false">Appraisal!$B$38</f>
        <v>6.34987065400386</v>
      </c>
      <c r="C11" s="22"/>
      <c r="D11" s="22"/>
      <c r="E11" s="22"/>
      <c r="F11" s="22"/>
      <c r="G11" s="20" t="n">
        <f aca="false">Appraisal!$B$41</f>
        <v>0.735183129855716</v>
      </c>
      <c r="H11" s="20"/>
      <c r="I11" s="20"/>
      <c r="J11" s="20"/>
      <c r="K11" s="20"/>
      <c r="L11" s="19" t="n">
        <f aca="false">Scenarios!$I$16</f>
        <v>8.31763692609994</v>
      </c>
      <c r="M11" s="19"/>
      <c r="N11" s="19"/>
      <c r="O11" s="19"/>
      <c r="P11" s="19"/>
    </row>
    <row r="12" customFormat="false" ht="13.5" hidden="false" customHeight="true" outlineLevel="0" collapsed="false">
      <c r="B12" s="22"/>
      <c r="C12" s="22"/>
      <c r="D12" s="22"/>
      <c r="E12" s="22"/>
      <c r="F12" s="22"/>
      <c r="G12" s="20"/>
      <c r="H12" s="20"/>
      <c r="I12" s="20"/>
      <c r="J12" s="20"/>
      <c r="K12" s="20"/>
      <c r="L12" s="19"/>
      <c r="M12" s="19"/>
      <c r="N12" s="19"/>
      <c r="O12" s="19"/>
      <c r="P12" s="19"/>
    </row>
    <row r="13" customFormat="false" ht="21.75" hidden="false" customHeight="true" outlineLevel="0" collapsed="false">
      <c r="B13" s="21" t="str">
        <f aca="false">IF(ISTEXT(Appraisal!$B$39),"Discounted payback is not achieved within the appraisal period","Discounted payback "&amp;TEXT(Appraisal!$B$39,"0.0")&amp;" years")</f>
        <v>Discounted payback is not achieved within the appraisal period</v>
      </c>
      <c r="C13" s="21"/>
      <c r="D13" s="21"/>
      <c r="E13" s="21"/>
      <c r="F13" s="21"/>
      <c r="G13" s="21" t="str">
        <f aca="false">"Not yet nominated. Without it the NPV is "&amp;TEXT(Scenarios!$I$7,"#,##0")&amp;"k"</f>
        <v>Not yet nominated. Without it the NPV is -1,546k</v>
      </c>
      <c r="H13" s="21"/>
      <c r="I13" s="21"/>
      <c r="J13" s="21"/>
      <c r="K13" s="21"/>
      <c r="L13" s="21" t="str">
        <f aca="false">"Platform awarded and the 5% capital saving delivered"</f>
        <v>Platform awarded and the 5% capital saving delivered</v>
      </c>
      <c r="M13" s="21"/>
      <c r="N13" s="21"/>
      <c r="O13" s="21"/>
      <c r="P13" s="21"/>
    </row>
    <row r="15" customFormat="false" ht="15" hidden="false" customHeight="true" outlineLevel="0" collapsed="false">
      <c r="B15" s="23" t="s">
        <v>60</v>
      </c>
      <c r="C15" s="23"/>
      <c r="D15" s="23"/>
      <c r="E15" s="23"/>
      <c r="F15" s="23"/>
      <c r="G15" s="23"/>
      <c r="H15" s="23"/>
      <c r="I15" s="23"/>
      <c r="J15" s="23"/>
      <c r="K15" s="23"/>
      <c r="L15" s="23"/>
      <c r="M15" s="23"/>
      <c r="N15" s="23"/>
      <c r="O15" s="23"/>
      <c r="P15" s="23"/>
    </row>
    <row r="16" customFormat="false" ht="31.5" hidden="false" customHeight="true" outlineLevel="0" collapsed="false">
      <c r="B16" s="24" t="str">
        <f aca="false">"Do not approve as scoped. The base case returns "&amp;TEXT(Appraisal!$B$36,"0.0%")&amp;" against a "&amp;TEXT(WACC!$B$22,"0.0%")&amp;" cost of capital and a "&amp;TEXT(WACC!$B$23,"0.0%")&amp;" hurdle, with a net present value of "&amp;TEXT(Appraisal!$B$34,"#,##0")&amp;"k. The three conditions below take it to "&amp;TEXT(Scenarios!$I$16,"#,##0")&amp;"k, "&amp;IF(Scenarios!$I$16&gt;0,"marginally positive but still short of the hurdle","still short of its cost of capital")&amp;". On these numbers this is a decision about staying on the platform, not a financial one."</f>
        <v>Do not approve as scoped. The base case returns 9.8% against a 10.7% cost of capital and a 12.0% hurdle, with a net present value of -70k. The three conditions below take it to 8k, marginally positive but still short of the hurdle. On these numbers this is a decision about staying on the platform, not a financial one.</v>
      </c>
      <c r="C16" s="24"/>
      <c r="D16" s="24"/>
      <c r="E16" s="24"/>
      <c r="F16" s="24"/>
      <c r="G16" s="24"/>
      <c r="H16" s="24"/>
      <c r="I16" s="24"/>
      <c r="J16" s="24"/>
      <c r="K16" s="24"/>
      <c r="L16" s="24"/>
      <c r="M16" s="24"/>
      <c r="N16" s="24"/>
      <c r="O16" s="24"/>
      <c r="P16" s="24"/>
    </row>
    <row r="18" customFormat="false" ht="16.5" hidden="false" customHeight="true" outlineLevel="0" collapsed="false">
      <c r="A18" s="10" t="s">
        <v>61</v>
      </c>
      <c r="B18" s="10"/>
      <c r="C18" s="10"/>
      <c r="D18" s="10"/>
      <c r="E18" s="10"/>
      <c r="F18" s="10"/>
      <c r="G18" s="10"/>
      <c r="H18" s="10"/>
      <c r="I18" s="10"/>
      <c r="J18" s="10"/>
      <c r="K18" s="10"/>
      <c r="L18" s="10"/>
      <c r="M18" s="10"/>
      <c r="N18" s="10"/>
      <c r="O18" s="10"/>
      <c r="P18" s="10"/>
    </row>
    <row r="19" customFormat="false" ht="33.75" hidden="false" customHeight="true" outlineLevel="0" collapsed="false">
      <c r="B19" s="25" t="s">
        <v>62</v>
      </c>
      <c r="C19" s="25"/>
      <c r="D19" s="25"/>
      <c r="E19" s="25"/>
      <c r="F19" s="25"/>
      <c r="G19" s="14" t="str">
        <f aca="false">"The platform is "&amp;TEXT(Appraisal!$B$41,"0%")&amp;" of the gross benefit. Without it the net present value is "&amp;TEXT(Scenarios!$I$7,"#,##0")&amp;"k and the internal rate of return is "&amp;TEXT(Scenarios!$J$7,"0.0%")&amp;". Milestone 2 is "&amp;TEXT('Costs &amp; Capex'!$C$7,"#,##0")&amp;"k and is the last point at which the decision is still reversible."</f>
        <v>The platform is 74% of the gross benefit. Without it the net present value is -1,546k and the internal rate of return is n/a. Milestone 2 is 775k and is the last point at which the decision is still reversible.</v>
      </c>
      <c r="H19" s="14"/>
      <c r="I19" s="14"/>
      <c r="J19" s="14"/>
      <c r="K19" s="14"/>
      <c r="L19" s="14"/>
      <c r="M19" s="14"/>
      <c r="N19" s="14"/>
      <c r="O19" s="14"/>
      <c r="P19" s="14"/>
    </row>
    <row r="20" customFormat="false" ht="33.75" hidden="false" customHeight="true" outlineLevel="0" collapsed="false">
      <c r="B20" s="25" t="s">
        <v>63</v>
      </c>
      <c r="C20" s="25"/>
      <c r="D20" s="25"/>
      <c r="E20" s="25"/>
      <c r="F20" s="25"/>
      <c r="G20" s="14" t="str">
        <f aca="false">"Procurement believe it is available. It is worth "&amp;TEXT(Scenarios!$I$13-Appraisal!$B$34,"#,##0")&amp;"k of net present value, which is the difference between a project that clears its cost of capital and one that does not."</f>
        <v>Procurement believe it is available. It is worth 79k of net present value, which is the difference between a project that clears its cost of capital and one that does not.</v>
      </c>
      <c r="H20" s="14"/>
      <c r="I20" s="14"/>
      <c r="J20" s="14"/>
      <c r="K20" s="14"/>
      <c r="L20" s="14"/>
      <c r="M20" s="14"/>
      <c r="N20" s="14"/>
      <c r="O20" s="14"/>
      <c r="P20" s="14"/>
    </row>
    <row r="21" customFormat="false" ht="33.75" hidden="false" customHeight="true" outlineLevel="0" collapsed="false">
      <c r="B21" s="25" t="s">
        <v>64</v>
      </c>
      <c r="C21" s="25"/>
      <c r="D21" s="25"/>
      <c r="E21" s="25"/>
      <c r="F21" s="25"/>
      <c r="G21" s="14" t="str">
        <f aca="false">"The case needs "&amp;TEXT('Benefits Build'!$C$33,"0%")&amp;" utilisation of the machine. Both benefit streams are hours on one spindle: if the shift pattern is not committed, the benefit is not available and neither stream can be delivered in full."</f>
        <v>The case needs 87% utilisation of the machine. Both benefit streams are hours on one spindle: if the shift pattern is not committed, the benefit is not available and neither stream can be delivered in full.</v>
      </c>
      <c r="H21" s="14"/>
      <c r="I21" s="14"/>
      <c r="J21" s="14"/>
      <c r="K21" s="14"/>
      <c r="L21" s="14"/>
      <c r="M21" s="14"/>
      <c r="N21" s="14"/>
      <c r="O21" s="14"/>
      <c r="P21" s="14"/>
    </row>
    <row r="23" customFormat="false" ht="16.5" hidden="false" customHeight="true" outlineLevel="0" collapsed="false">
      <c r="A23" s="10" t="s">
        <v>65</v>
      </c>
      <c r="B23" s="10"/>
      <c r="C23" s="10"/>
      <c r="D23" s="10"/>
      <c r="E23" s="10"/>
      <c r="F23" s="10"/>
      <c r="G23" s="10"/>
      <c r="H23" s="10"/>
      <c r="I23" s="10"/>
      <c r="J23" s="10"/>
      <c r="K23" s="10"/>
      <c r="L23" s="10"/>
      <c r="M23" s="10"/>
      <c r="N23" s="10"/>
      <c r="O23" s="10"/>
      <c r="P23" s="10"/>
    </row>
    <row r="39" customFormat="false" ht="16.5" hidden="false" customHeight="true" outlineLevel="0" collapsed="false">
      <c r="A39" s="10" t="s">
        <v>66</v>
      </c>
      <c r="B39" s="10"/>
      <c r="C39" s="10"/>
      <c r="D39" s="10"/>
      <c r="E39" s="10"/>
      <c r="F39" s="10"/>
      <c r="G39" s="10"/>
      <c r="H39" s="10"/>
      <c r="I39" s="10"/>
      <c r="J39" s="10"/>
      <c r="K39" s="10"/>
      <c r="L39" s="10"/>
      <c r="M39" s="10"/>
      <c r="N39" s="10"/>
      <c r="O39" s="10"/>
      <c r="P39" s="10"/>
    </row>
    <row r="59" customFormat="false" ht="16.5" hidden="false" customHeight="true" outlineLevel="0" collapsed="false">
      <c r="A59" s="10" t="s">
        <v>67</v>
      </c>
      <c r="B59" s="10"/>
      <c r="C59" s="10"/>
      <c r="D59" s="10"/>
      <c r="E59" s="10"/>
      <c r="F59" s="10"/>
      <c r="G59" s="10"/>
      <c r="H59" s="10"/>
      <c r="I59" s="10"/>
      <c r="J59" s="10"/>
      <c r="K59" s="10"/>
      <c r="L59" s="10"/>
      <c r="M59" s="10"/>
      <c r="N59" s="10"/>
      <c r="O59" s="10"/>
      <c r="P59" s="10"/>
    </row>
    <row r="60" customFormat="false" ht="45.75" hidden="false" customHeight="true" outlineLevel="0" collapsed="false">
      <c r="B60" s="26" t="str">
        <f aca="false">"1.  The case is conditional, not marginal. As scoped the net present value is "&amp;TEXT(Appraisal!$B$34,"#,##0")&amp;"k and the internal rate of return "&amp;TEXT(Appraisal!$B$36,"0.0%")&amp;", against a cost of capital of "&amp;TEXT(WACC!$B$22,"0.0%")&amp;" and a profitability index of "&amp;TEXT(Appraisal!$B$40,"0.00")&amp;"x. The project as scoped does not return its cost of capital, and no reasonable improvement to the arithmetic changes that: the question is whether the three conditions can be met."</f>
        <v>1.  The case is conditional, not marginal. As scoped the net present value is -70k and the internal rate of return 9.8%, against a cost of capital of 10.7% and a profitability index of 0.91x. The project as scoped does not return its cost of capital, and no reasonable improvement to the arithmetic changes that: the question is whether the three conditions can be met.</v>
      </c>
      <c r="C60" s="26"/>
      <c r="D60" s="26"/>
      <c r="E60" s="26"/>
      <c r="F60" s="26"/>
      <c r="G60" s="26"/>
      <c r="H60" s="26"/>
      <c r="I60" s="26"/>
      <c r="J60" s="26"/>
      <c r="K60" s="26"/>
      <c r="L60" s="26"/>
      <c r="M60" s="26"/>
      <c r="N60" s="26"/>
      <c r="O60" s="26"/>
      <c r="P60" s="26"/>
    </row>
    <row r="61" customFormat="false" ht="45.75" hidden="false" customHeight="true" outlineLevel="0" collapsed="false">
      <c r="B61" s="26" t="str">
        <f aca="false">"2.  "&amp;TEXT(Appraisal!$B$41,"0%")&amp;" of the gross benefit is one platform that has not been nominated. The insourcing benefit, which is contracted work we already do, is worth only "&amp;TEXT(SUM('Benefits Build'!$I$10),"#,##0")&amp;"k a year and cannot carry the machine on its own: run 2 puts the net present value at "&amp;TEXT(Scenarios!$I$7,"#,##0")&amp;"k."</f>
        <v>2.  74% of the gross benefit is one platform that has not been nominated. The insourcing benefit, which is contracted work we already do, is worth only 94k a year and cannot carry the machine on its own: run 2 puts the net present value at -1,546k.</v>
      </c>
      <c r="C61" s="26"/>
      <c r="D61" s="26"/>
      <c r="E61" s="26"/>
      <c r="F61" s="26"/>
      <c r="G61" s="26"/>
      <c r="H61" s="26"/>
      <c r="I61" s="26"/>
      <c r="J61" s="26"/>
      <c r="K61" s="26"/>
      <c r="L61" s="26"/>
      <c r="M61" s="26"/>
      <c r="N61" s="26"/>
      <c r="O61" s="26"/>
      <c r="P61" s="26"/>
    </row>
    <row r="62" customFormat="false" ht="45.75" hidden="false" customHeight="true" outlineLevel="0" collapsed="false">
      <c r="B62" s="26" t="str">
        <f aca="false">"3.  Timing matters more than price. A twelve month delay to the nomination costs "&amp;TEXT(Scenarios!$I$6-Scenarios!$I$8,"#,##0")&amp;"k of net present value, more than a 10% capital overrun ("&amp;TEXT(Scenarios!$I$6-Scenarios!$I$12,"#,##0")&amp;"k) and more than a 25% reduction in the insourcing saving ("&amp;TEXT(Scenarios!$I$6-Scenarios!$I$11,"#,##0")&amp;"k). Whatever else the committee negotiates, the nomination date is the thing to hold."</f>
        <v>3.  Timing matters more than price. A twelve month delay to the nomination costs 293k of net present value, more than a 10% capital overrun (157k) and more than a 25% reduction in the insourcing saving (105k). Whatever else the committee negotiates, the nomination date is the thing to hold.</v>
      </c>
      <c r="C62" s="26"/>
      <c r="D62" s="26"/>
      <c r="E62" s="26"/>
      <c r="F62" s="26"/>
      <c r="G62" s="26"/>
      <c r="H62" s="26"/>
      <c r="I62" s="26"/>
      <c r="J62" s="26"/>
      <c r="K62" s="26"/>
      <c r="L62" s="26"/>
      <c r="M62" s="26"/>
      <c r="N62" s="26"/>
      <c r="O62" s="26"/>
      <c r="P62" s="26"/>
    </row>
    <row r="63" customFormat="false" ht="45.75" hidden="false" customHeight="true" outlineLevel="0" collapsed="false">
      <c r="B63" s="26" t="str">
        <f aca="false">"4.  The liquidity action from the 13-week cash flow forecast is cheap. Deferring milestone 2 by three weeks lifts minimum liquidity by "&amp;TEXT('Costs &amp; Capex'!$C$7,"#,##0")&amp;"k in the trough week and costs "&amp;TEXT(Scenarios!$I$6-Scenarios!$I$15,"#,##0")&amp;"k of net present value. That is the trade to take."</f>
        <v>4.  The liquidity action from the 13-week cash flow forecast is cheap. Deferring milestone 2 by three weeks lifts minimum liquidity by 775k in the trough week and costs 18k of net present value. That is the trade to take.</v>
      </c>
      <c r="C63" s="26"/>
      <c r="D63" s="26"/>
      <c r="E63" s="26"/>
      <c r="F63" s="26"/>
      <c r="G63" s="26"/>
      <c r="H63" s="26"/>
      <c r="I63" s="26"/>
      <c r="J63" s="26"/>
      <c r="K63" s="26"/>
      <c r="L63" s="26"/>
      <c r="M63" s="26"/>
      <c r="N63" s="26"/>
      <c r="O63" s="26"/>
      <c r="P63" s="26"/>
    </row>
    <row r="64" customFormat="false" ht="45.75" hidden="false" customHeight="true" outlineLevel="0" collapsed="false">
      <c r="B64" s="26" t="str">
        <f aca="false">"5.  Break even. The platform has to be worth at least "&amp;TEXT(Scenarios!$E$144,"#,##0")&amp;"k of revenue a year, against an RFQ quantity worth "&amp;TEXT(Scenarios!$C$144,"#,##0")&amp;"k, for the project to return its cost of capital. That is "&amp;TEXT(Scenarios!$F$144,"0%")&amp;" of the quoted volume, which is the number to put in front of the sales director."</f>
        <v>5.  Break even. The platform has to be worth at least 1,068k of revenue a year, against an RFQ quantity worth 1,019k, for the project to return its cost of capital. That is 105% of the quoted volume, which is the number to put in front of the sales director.</v>
      </c>
      <c r="C64" s="26"/>
      <c r="D64" s="26"/>
      <c r="E64" s="26"/>
      <c r="F64" s="26"/>
      <c r="G64" s="26"/>
      <c r="H64" s="26"/>
      <c r="I64" s="26"/>
      <c r="J64" s="26"/>
      <c r="K64" s="26"/>
      <c r="L64" s="26"/>
      <c r="M64" s="26"/>
      <c r="N64" s="26"/>
      <c r="O64" s="26"/>
      <c r="P64" s="26"/>
    </row>
    <row r="66" customFormat="false" ht="16.5" hidden="false" customHeight="true" outlineLevel="0" collapsed="false">
      <c r="A66" s="10" t="s">
        <v>68</v>
      </c>
      <c r="B66" s="10"/>
      <c r="C66" s="10"/>
      <c r="D66" s="10"/>
      <c r="E66" s="10"/>
      <c r="F66" s="10"/>
      <c r="G66" s="10"/>
      <c r="H66" s="10"/>
      <c r="I66" s="10"/>
      <c r="J66" s="10"/>
      <c r="K66" s="10"/>
      <c r="L66" s="10"/>
      <c r="M66" s="10"/>
      <c r="N66" s="10"/>
      <c r="O66" s="10"/>
      <c r="P66" s="10"/>
    </row>
    <row r="67" customFormat="false" ht="30" hidden="false" customHeight="true" outlineLevel="0" collapsed="false">
      <c r="B67" s="27" t="s">
        <v>69</v>
      </c>
      <c r="C67" s="27"/>
      <c r="D67" s="27"/>
      <c r="E67" s="27"/>
      <c r="F67" s="14" t="s">
        <v>70</v>
      </c>
      <c r="G67" s="14"/>
      <c r="H67" s="14"/>
      <c r="I67" s="14"/>
      <c r="J67" s="14"/>
      <c r="K67" s="14"/>
      <c r="L67" s="14"/>
      <c r="M67" s="14"/>
      <c r="N67" s="14"/>
      <c r="O67" s="28" t="s">
        <v>71</v>
      </c>
      <c r="P67" s="28"/>
    </row>
    <row r="68" customFormat="false" ht="30" hidden="false" customHeight="true" outlineLevel="0" collapsed="false">
      <c r="B68" s="27" t="s">
        <v>72</v>
      </c>
      <c r="C68" s="27"/>
      <c r="D68" s="27"/>
      <c r="E68" s="27"/>
      <c r="F68" s="14" t="s">
        <v>73</v>
      </c>
      <c r="G68" s="14"/>
      <c r="H68" s="14"/>
      <c r="I68" s="14"/>
      <c r="J68" s="14"/>
      <c r="K68" s="14"/>
      <c r="L68" s="14"/>
      <c r="M68" s="14"/>
      <c r="N68" s="14"/>
      <c r="O68" s="29" t="s">
        <v>74</v>
      </c>
      <c r="P68" s="29"/>
    </row>
    <row r="69" customFormat="false" ht="30" hidden="false" customHeight="true" outlineLevel="0" collapsed="false">
      <c r="B69" s="27" t="s">
        <v>75</v>
      </c>
      <c r="C69" s="27"/>
      <c r="D69" s="27"/>
      <c r="E69" s="27"/>
      <c r="F69" s="14" t="s">
        <v>76</v>
      </c>
      <c r="G69" s="14"/>
      <c r="H69" s="14"/>
      <c r="I69" s="14"/>
      <c r="J69" s="14"/>
      <c r="K69" s="14"/>
      <c r="L69" s="14"/>
      <c r="M69" s="14"/>
      <c r="N69" s="14"/>
      <c r="O69" s="29" t="s">
        <v>74</v>
      </c>
      <c r="P69" s="29"/>
    </row>
    <row r="70" customFormat="false" ht="30" hidden="false" customHeight="true" outlineLevel="0" collapsed="false">
      <c r="B70" s="27" t="s">
        <v>77</v>
      </c>
      <c r="C70" s="27"/>
      <c r="D70" s="27"/>
      <c r="E70" s="27"/>
      <c r="F70" s="14" t="s">
        <v>78</v>
      </c>
      <c r="G70" s="14"/>
      <c r="H70" s="14"/>
      <c r="I70" s="14"/>
      <c r="J70" s="14"/>
      <c r="K70" s="14"/>
      <c r="L70" s="14"/>
      <c r="M70" s="14"/>
      <c r="N70" s="14"/>
      <c r="O70" s="30" t="s">
        <v>79</v>
      </c>
      <c r="P70" s="30"/>
    </row>
    <row r="72" customFormat="false" ht="15" hidden="false" customHeight="false" outlineLevel="0" collapsed="false">
      <c r="B72" s="31" t="s">
        <v>80</v>
      </c>
      <c r="C72" s="31"/>
      <c r="D72" s="31"/>
      <c r="E72" s="31"/>
      <c r="F72" s="31"/>
      <c r="G72" s="31"/>
      <c r="H72" s="31"/>
      <c r="I72" s="31"/>
      <c r="J72" s="31"/>
      <c r="K72" s="31"/>
      <c r="L72" s="31"/>
      <c r="M72" s="31"/>
      <c r="N72" s="31"/>
      <c r="O72" s="31"/>
      <c r="P72" s="31"/>
    </row>
  </sheetData>
  <mergeCells count="51">
    <mergeCell ref="A1:P1"/>
    <mergeCell ref="A2:P2"/>
    <mergeCell ref="B5:F5"/>
    <mergeCell ref="G5:K5"/>
    <mergeCell ref="L5:P5"/>
    <mergeCell ref="B6:F7"/>
    <mergeCell ref="G6:K7"/>
    <mergeCell ref="L6:P7"/>
    <mergeCell ref="B8:F8"/>
    <mergeCell ref="G8:K8"/>
    <mergeCell ref="L8:P8"/>
    <mergeCell ref="B10:F10"/>
    <mergeCell ref="G10:K10"/>
    <mergeCell ref="L10:P10"/>
    <mergeCell ref="B11:F12"/>
    <mergeCell ref="G11:K12"/>
    <mergeCell ref="L11:P12"/>
    <mergeCell ref="B13:F13"/>
    <mergeCell ref="G13:K13"/>
    <mergeCell ref="L13:P13"/>
    <mergeCell ref="B15:P15"/>
    <mergeCell ref="B16:P16"/>
    <mergeCell ref="A18:P18"/>
    <mergeCell ref="B19:F19"/>
    <mergeCell ref="G19:P19"/>
    <mergeCell ref="B20:F20"/>
    <mergeCell ref="G20:P20"/>
    <mergeCell ref="B21:F21"/>
    <mergeCell ref="G21:P21"/>
    <mergeCell ref="A23:P23"/>
    <mergeCell ref="A39:P39"/>
    <mergeCell ref="A59:P59"/>
    <mergeCell ref="B60:P60"/>
    <mergeCell ref="B61:P61"/>
    <mergeCell ref="B62:P62"/>
    <mergeCell ref="B63:P63"/>
    <mergeCell ref="B64:P64"/>
    <mergeCell ref="A66:P66"/>
    <mergeCell ref="B67:E67"/>
    <mergeCell ref="F67:N67"/>
    <mergeCell ref="O67:P67"/>
    <mergeCell ref="B68:E68"/>
    <mergeCell ref="F68:N68"/>
    <mergeCell ref="O68:P68"/>
    <mergeCell ref="B69:E69"/>
    <mergeCell ref="F69:N69"/>
    <mergeCell ref="O69:P69"/>
    <mergeCell ref="B70:E70"/>
    <mergeCell ref="F70:N70"/>
    <mergeCell ref="O70:P70"/>
    <mergeCell ref="B72:P72"/>
  </mergeCells>
  <printOptions headings="false" gridLines="false" gridLinesSet="true" horizontalCentered="false" verticalCentered="false"/>
  <pageMargins left="0.3" right="0.3" top="1" bottom="1" header="0.5" footer="0.5"/>
  <pageSetup paperSize="9" scale="100" fitToWidth="1" fitToHeight="0" pageOrder="downThenOver" orientation="portrait" blackAndWhite="false" draft="false" cellComments="none" horizontalDpi="300" verticalDpi="300" copies="1"/>
  <headerFooter differentFirst="false" differentOddEven="false">
    <oddHeader>&amp;L&amp;"Arial,Bold"&amp;9Halcyon Metalworks Kft.&amp;R&amp;"Arial,Regular"&amp;9CAPITAL INVESTMENT APPRAISAL</oddHeader>
    <oddFooter>&amp;L&amp;"Arial,Regular"&amp;8Illustrative sample, fictional data - prepared by Tarlan Charkasov, ACCA&amp;R&amp;"Arial,Regular"&amp;8Page &amp;P of &amp;N</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6" topLeftCell="B7" activePane="bottomRight" state="frozen"/>
      <selection pane="topLeft" activeCell="A1" activeCellId="0" sqref="A1"/>
      <selection pane="topRight" activeCell="B1" activeCellId="0" sqref="B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48"/>
    <col collapsed="false" customWidth="true" hidden="false" outlineLevel="0" max="12" min="2" style="0" width="11.39"/>
  </cols>
  <sheetData>
    <row r="1" customFormat="false" ht="24" hidden="false" customHeight="true" outlineLevel="0" collapsed="false">
      <c r="A1" s="32" t="s">
        <v>81</v>
      </c>
      <c r="B1" s="32"/>
      <c r="C1" s="32"/>
      <c r="D1" s="32"/>
      <c r="E1" s="32"/>
      <c r="F1" s="32"/>
      <c r="G1" s="32"/>
      <c r="H1" s="32"/>
      <c r="I1" s="32"/>
      <c r="J1" s="32"/>
      <c r="K1" s="32"/>
      <c r="L1" s="32"/>
    </row>
    <row r="2" customFormat="false" ht="30.75" hidden="false" customHeight="true" outlineLevel="0" collapsed="false">
      <c r="A2" s="33" t="s">
        <v>82</v>
      </c>
      <c r="B2" s="33"/>
      <c r="C2" s="33"/>
      <c r="D2" s="33"/>
      <c r="E2" s="33"/>
      <c r="F2" s="33"/>
      <c r="G2" s="33"/>
      <c r="H2" s="33"/>
      <c r="I2" s="33"/>
      <c r="J2" s="33"/>
      <c r="K2" s="33"/>
      <c r="L2" s="33"/>
    </row>
    <row r="4" customFormat="false" ht="13.5" hidden="false" customHeight="true" outlineLevel="0" collapsed="false">
      <c r="A4" s="34" t="s">
        <v>83</v>
      </c>
      <c r="B4" s="35" t="s">
        <v>84</v>
      </c>
      <c r="C4" s="35" t="s">
        <v>85</v>
      </c>
      <c r="D4" s="35" t="s">
        <v>86</v>
      </c>
      <c r="E4" s="35" t="s">
        <v>87</v>
      </c>
      <c r="F4" s="35" t="s">
        <v>88</v>
      </c>
      <c r="G4" s="35" t="s">
        <v>89</v>
      </c>
      <c r="H4" s="35" t="s">
        <v>90</v>
      </c>
      <c r="I4" s="35" t="s">
        <v>91</v>
      </c>
      <c r="J4" s="35" t="s">
        <v>92</v>
      </c>
      <c r="K4" s="35" t="s">
        <v>93</v>
      </c>
      <c r="L4" s="35" t="s">
        <v>94</v>
      </c>
    </row>
    <row r="5" customFormat="false" ht="13.5" hidden="false" customHeight="true" outlineLevel="0" collapsed="false">
      <c r="A5" s="34" t="s">
        <v>95</v>
      </c>
      <c r="B5" s="36" t="n">
        <v>0</v>
      </c>
      <c r="C5" s="36" t="n">
        <v>1</v>
      </c>
      <c r="D5" s="36" t="n">
        <v>2</v>
      </c>
      <c r="E5" s="36" t="n">
        <v>3</v>
      </c>
      <c r="F5" s="36" t="n">
        <v>4</v>
      </c>
      <c r="G5" s="36" t="n">
        <v>5</v>
      </c>
      <c r="H5" s="36" t="n">
        <v>6</v>
      </c>
      <c r="I5" s="36" t="n">
        <v>7</v>
      </c>
      <c r="J5" s="36" t="n">
        <v>8</v>
      </c>
      <c r="K5" s="36" t="n">
        <v>9</v>
      </c>
    </row>
    <row r="6" customFormat="false" ht="13.5" hidden="false" customHeight="true" outlineLevel="0" collapsed="false">
      <c r="A6" s="34" t="s">
        <v>96</v>
      </c>
      <c r="B6" s="37" t="n">
        <f aca="false">IF(Assumptions!$B$8=2,0.5,0)</f>
        <v>0.5</v>
      </c>
      <c r="C6" s="37" t="n">
        <f aca="false">IF(Assumptions!$B$8=2,C5+0.5,C5)</f>
        <v>1.5</v>
      </c>
      <c r="D6" s="37" t="n">
        <f aca="false">IF(Assumptions!$B$8=2,D5+0.5,D5)</f>
        <v>2.5</v>
      </c>
      <c r="E6" s="37" t="n">
        <f aca="false">IF(Assumptions!$B$8=2,E5+0.5,E5)</f>
        <v>3.5</v>
      </c>
      <c r="F6" s="37" t="n">
        <f aca="false">IF(Assumptions!$B$8=2,F5+0.5,F5)</f>
        <v>4.5</v>
      </c>
      <c r="G6" s="37" t="n">
        <f aca="false">IF(Assumptions!$B$8=2,G5+0.5,G5)</f>
        <v>5.5</v>
      </c>
      <c r="H6" s="37" t="n">
        <f aca="false">IF(Assumptions!$B$8=2,H5+0.5,H5)</f>
        <v>6.5</v>
      </c>
      <c r="I6" s="37" t="n">
        <f aca="false">IF(Assumptions!$B$8=2,I5+0.5,I5)</f>
        <v>7.5</v>
      </c>
      <c r="J6" s="37" t="n">
        <f aca="false">IF(Assumptions!$B$8=2,J5+0.5,J5)</f>
        <v>8.5</v>
      </c>
      <c r="K6" s="37" t="n">
        <f aca="false">IF(Assumptions!$B$8=2,K5+0.5,K5)</f>
        <v>9.5</v>
      </c>
    </row>
    <row r="8" customFormat="false" ht="16.5" hidden="false" customHeight="true" outlineLevel="0" collapsed="false">
      <c r="A8" s="10" t="s">
        <v>97</v>
      </c>
      <c r="B8" s="10"/>
      <c r="C8" s="10"/>
      <c r="D8" s="10"/>
      <c r="E8" s="10"/>
      <c r="F8" s="10"/>
      <c r="G8" s="10"/>
      <c r="H8" s="10"/>
      <c r="I8" s="10"/>
      <c r="J8" s="10"/>
      <c r="K8" s="10"/>
      <c r="L8" s="10"/>
    </row>
    <row r="9" customFormat="false" ht="13.5" hidden="false" customHeight="true" outlineLevel="0" collapsed="false">
      <c r="A9" s="34" t="s">
        <v>98</v>
      </c>
      <c r="B9" s="38" t="n">
        <f aca="false">0*'Benefits Build'!$D$19*'Benefits Build'!$C$14/1000</f>
        <v>0</v>
      </c>
      <c r="C9" s="38" t="n">
        <f aca="false">Assumptions!$B$22*'Benefits Build'!$D$19*'Benefits Build'!$C$14/1000</f>
        <v>509.6</v>
      </c>
      <c r="D9" s="38" t="n">
        <f aca="false">1*'Benefits Build'!$D$19*'Benefits Build'!$C$14/1000</f>
        <v>1019.2</v>
      </c>
      <c r="E9" s="38" t="n">
        <f aca="false">1*'Benefits Build'!$D$19*'Benefits Build'!$C$14/1000</f>
        <v>1019.2</v>
      </c>
      <c r="F9" s="38" t="n">
        <f aca="false">1*'Benefits Build'!$D$19*'Benefits Build'!$C$14/1000</f>
        <v>1019.2</v>
      </c>
      <c r="G9" s="38" t="n">
        <f aca="false">1*'Benefits Build'!$D$19*'Benefits Build'!$C$14/1000</f>
        <v>1019.2</v>
      </c>
      <c r="H9" s="38" t="n">
        <f aca="false">1*'Benefits Build'!$D$19*'Benefits Build'!$C$14/1000</f>
        <v>1019.2</v>
      </c>
      <c r="I9" s="38" t="n">
        <f aca="false">1*'Benefits Build'!$D$19*'Benefits Build'!$C$14/1000</f>
        <v>1019.2</v>
      </c>
      <c r="J9" s="38" t="n">
        <f aca="false">1*'Benefits Build'!$D$19*'Benefits Build'!$C$14/1000</f>
        <v>1019.2</v>
      </c>
      <c r="K9" s="38" t="n">
        <f aca="false">1*'Benefits Build'!$D$19*'Benefits Build'!$C$14/1000</f>
        <v>1019.2</v>
      </c>
      <c r="L9" s="39" t="n">
        <f aca="false">SUM(B9:K9)</f>
        <v>8663.2</v>
      </c>
    </row>
    <row r="10" customFormat="false" ht="13.5" hidden="false" customHeight="true" outlineLevel="0" collapsed="false">
      <c r="A10" s="34" t="s">
        <v>99</v>
      </c>
      <c r="B10" s="38" t="n">
        <f aca="false">0*'Benefits Build'!$E$18</f>
        <v>0</v>
      </c>
      <c r="C10" s="38" t="n">
        <f aca="false">Assumptions!$B$22*'Benefits Build'!$E$18</f>
        <v>165.6</v>
      </c>
      <c r="D10" s="38" t="n">
        <f aca="false">1*'Benefits Build'!$E$18</f>
        <v>331.2</v>
      </c>
      <c r="E10" s="38" t="n">
        <f aca="false">1*'Benefits Build'!$E$18</f>
        <v>331.2</v>
      </c>
      <c r="F10" s="38" t="n">
        <f aca="false">1*'Benefits Build'!$E$18</f>
        <v>331.2</v>
      </c>
      <c r="G10" s="38" t="n">
        <f aca="false">1*'Benefits Build'!$E$18</f>
        <v>331.2</v>
      </c>
      <c r="H10" s="38" t="n">
        <f aca="false">1*'Benefits Build'!$E$18</f>
        <v>331.2</v>
      </c>
      <c r="I10" s="38" t="n">
        <f aca="false">1*'Benefits Build'!$E$18</f>
        <v>331.2</v>
      </c>
      <c r="J10" s="38" t="n">
        <f aca="false">1*'Benefits Build'!$E$18</f>
        <v>331.2</v>
      </c>
      <c r="K10" s="38" t="n">
        <f aca="false">1*'Benefits Build'!$E$18</f>
        <v>331.2</v>
      </c>
      <c r="L10" s="39" t="n">
        <f aca="false">SUM(B10:K10)</f>
        <v>2815.2</v>
      </c>
    </row>
    <row r="11" customFormat="false" ht="13.5" hidden="false" customHeight="true" outlineLevel="0" collapsed="false">
      <c r="A11" s="34" t="s">
        <v>100</v>
      </c>
      <c r="B11" s="38" t="n">
        <f aca="false">0*'Benefits Build'!$I$10</f>
        <v>0</v>
      </c>
      <c r="C11" s="38" t="n">
        <f aca="false">Assumptions!$B$22*'Benefits Build'!$I$10</f>
        <v>47.1</v>
      </c>
      <c r="D11" s="38" t="n">
        <f aca="false">1*'Benefits Build'!$I$10</f>
        <v>94.2</v>
      </c>
      <c r="E11" s="38" t="n">
        <f aca="false">1*'Benefits Build'!$I$10</f>
        <v>94.2</v>
      </c>
      <c r="F11" s="38" t="n">
        <f aca="false">1*'Benefits Build'!$I$10</f>
        <v>94.2</v>
      </c>
      <c r="G11" s="38" t="n">
        <f aca="false">1*'Benefits Build'!$I$10</f>
        <v>94.2</v>
      </c>
      <c r="H11" s="38" t="n">
        <f aca="false">1*'Benefits Build'!$I$10</f>
        <v>94.2</v>
      </c>
      <c r="I11" s="38" t="n">
        <f aca="false">1*'Benefits Build'!$I$10</f>
        <v>94.2</v>
      </c>
      <c r="J11" s="38" t="n">
        <f aca="false">1*'Benefits Build'!$I$10</f>
        <v>94.2</v>
      </c>
      <c r="K11" s="38" t="n">
        <f aca="false">1*'Benefits Build'!$I$10</f>
        <v>94.2</v>
      </c>
      <c r="L11" s="39" t="n">
        <f aca="false">SUM(B11:K11)</f>
        <v>800.7</v>
      </c>
    </row>
    <row r="12" customFormat="false" ht="13.5" hidden="false" customHeight="true" outlineLevel="0" collapsed="false">
      <c r="A12" s="34" t="s">
        <v>101</v>
      </c>
      <c r="B12" s="38" t="n">
        <f aca="false">0*'Benefits Build'!$E$27</f>
        <v>0</v>
      </c>
      <c r="C12" s="38" t="n">
        <f aca="false">Assumptions!$B$22*'Benefits Build'!$E$27</f>
        <v>12.55</v>
      </c>
      <c r="D12" s="38" t="n">
        <f aca="false">1*'Benefits Build'!$E$27</f>
        <v>25.1</v>
      </c>
      <c r="E12" s="38" t="n">
        <f aca="false">1*'Benefits Build'!$E$27</f>
        <v>25.1</v>
      </c>
      <c r="F12" s="38" t="n">
        <f aca="false">1*'Benefits Build'!$E$27</f>
        <v>25.1</v>
      </c>
      <c r="G12" s="38" t="n">
        <f aca="false">1*'Benefits Build'!$E$27</f>
        <v>25.1</v>
      </c>
      <c r="H12" s="38" t="n">
        <f aca="false">1*'Benefits Build'!$E$27</f>
        <v>25.1</v>
      </c>
      <c r="I12" s="38" t="n">
        <f aca="false">1*'Benefits Build'!$E$27</f>
        <v>25.1</v>
      </c>
      <c r="J12" s="38" t="n">
        <f aca="false">1*'Benefits Build'!$E$27</f>
        <v>25.1</v>
      </c>
      <c r="K12" s="38" t="n">
        <f aca="false">1*'Benefits Build'!$E$27</f>
        <v>25.1</v>
      </c>
      <c r="L12" s="39" t="n">
        <f aca="false">SUM(B12:K12)</f>
        <v>213.35</v>
      </c>
    </row>
    <row r="13" customFormat="false" ht="13.5" hidden="false" customHeight="true" outlineLevel="0" collapsed="false">
      <c r="A13" s="34" t="s">
        <v>102</v>
      </c>
      <c r="B13" s="38" t="n">
        <f aca="false">-(0*('Costs &amp; Capex'!$E$22-'Costs &amp; Capex'!$E$18)+IF(2026&gt;=2028,'Costs &amp; Capex'!$E$18,0))</f>
        <v>-0</v>
      </c>
      <c r="C13" s="38" t="n">
        <f aca="false">-(Assumptions!$B$22*('Costs &amp; Capex'!$E$22-'Costs &amp; Capex'!$E$18)+IF(2027&gt;=2028,'Costs &amp; Capex'!$E$18,0))</f>
        <v>-27.95</v>
      </c>
      <c r="D13" s="38" t="n">
        <f aca="false">-(1*('Costs &amp; Capex'!$E$22-'Costs &amp; Capex'!$E$18)+IF(2028&gt;=2028,'Costs &amp; Capex'!$E$18,0))</f>
        <v>-93.9</v>
      </c>
      <c r="E13" s="38" t="n">
        <f aca="false">-(1*('Costs &amp; Capex'!$E$22-'Costs &amp; Capex'!$E$18)+IF(2029&gt;=2028,'Costs &amp; Capex'!$E$18,0))</f>
        <v>-93.9</v>
      </c>
      <c r="F13" s="38" t="n">
        <f aca="false">-(1*('Costs &amp; Capex'!$E$22-'Costs &amp; Capex'!$E$18)+IF(2030&gt;=2028,'Costs &amp; Capex'!$E$18,0))</f>
        <v>-93.9</v>
      </c>
      <c r="G13" s="38" t="n">
        <f aca="false">-(1*('Costs &amp; Capex'!$E$22-'Costs &amp; Capex'!$E$18)+IF(2031&gt;=2028,'Costs &amp; Capex'!$E$18,0))</f>
        <v>-93.9</v>
      </c>
      <c r="H13" s="38" t="n">
        <f aca="false">-(1*('Costs &amp; Capex'!$E$22-'Costs &amp; Capex'!$E$18)+IF(2032&gt;=2028,'Costs &amp; Capex'!$E$18,0))</f>
        <v>-93.9</v>
      </c>
      <c r="I13" s="38" t="n">
        <f aca="false">-(1*('Costs &amp; Capex'!$E$22-'Costs &amp; Capex'!$E$18)+IF(2033&gt;=2028,'Costs &amp; Capex'!$E$18,0))</f>
        <v>-93.9</v>
      </c>
      <c r="J13" s="38" t="n">
        <f aca="false">-(1*('Costs &amp; Capex'!$E$22-'Costs &amp; Capex'!$E$18)+IF(2034&gt;=2028,'Costs &amp; Capex'!$E$18,0))</f>
        <v>-93.9</v>
      </c>
      <c r="K13" s="38" t="n">
        <f aca="false">-(1*('Costs &amp; Capex'!$E$22-'Costs &amp; Capex'!$E$18)+IF(2035&gt;=2028,'Costs &amp; Capex'!$E$18,0))</f>
        <v>-93.9</v>
      </c>
      <c r="L13" s="39" t="n">
        <f aca="false">SUM(B13:K13)</f>
        <v>-779.15</v>
      </c>
    </row>
    <row r="14" customFormat="false" ht="13.5" hidden="false" customHeight="true" outlineLevel="0" collapsed="false">
      <c r="A14" s="40" t="s">
        <v>103</v>
      </c>
      <c r="B14" s="41" t="n">
        <f aca="false">SUM(B10:B13)</f>
        <v>0</v>
      </c>
      <c r="C14" s="41" t="n">
        <f aca="false">SUM(C10:C13)</f>
        <v>197.3</v>
      </c>
      <c r="D14" s="41" t="n">
        <f aca="false">SUM(D10:D13)</f>
        <v>356.6</v>
      </c>
      <c r="E14" s="41" t="n">
        <f aca="false">SUM(E10:E13)</f>
        <v>356.6</v>
      </c>
      <c r="F14" s="41" t="n">
        <f aca="false">SUM(F10:F13)</f>
        <v>356.6</v>
      </c>
      <c r="G14" s="41" t="n">
        <f aca="false">SUM(G10:G13)</f>
        <v>356.6</v>
      </c>
      <c r="H14" s="41" t="n">
        <f aca="false">SUM(H10:H13)</f>
        <v>356.6</v>
      </c>
      <c r="I14" s="41" t="n">
        <f aca="false">SUM(I10:I13)</f>
        <v>356.6</v>
      </c>
      <c r="J14" s="41" t="n">
        <f aca="false">SUM(J10:J13)</f>
        <v>356.6</v>
      </c>
      <c r="K14" s="41" t="n">
        <f aca="false">SUM(K10:K13)</f>
        <v>356.6</v>
      </c>
      <c r="L14" s="42" t="n">
        <f aca="false">SUM(B14:K14)</f>
        <v>3050.1</v>
      </c>
    </row>
    <row r="15" customFormat="false" ht="16.5" hidden="false" customHeight="true" outlineLevel="0" collapsed="false">
      <c r="A15" s="10" t="s">
        <v>104</v>
      </c>
      <c r="B15" s="10"/>
      <c r="C15" s="10"/>
      <c r="D15" s="10"/>
      <c r="E15" s="10"/>
      <c r="F15" s="10"/>
      <c r="G15" s="10"/>
      <c r="H15" s="10"/>
      <c r="I15" s="10"/>
      <c r="J15" s="10"/>
      <c r="K15" s="10"/>
      <c r="L15" s="10"/>
    </row>
    <row r="16" customFormat="false" ht="13.5" hidden="false" customHeight="true" outlineLevel="0" collapsed="false">
      <c r="A16" s="43" t="s">
        <v>105</v>
      </c>
      <c r="B16" s="44" t="n">
        <f aca="false">-IF(AND(2026&gt;=2027,2026&lt;=2027+'Costs &amp; Capex'!$C$26-1),'Costs &amp; Capex'!$C$27,0)</f>
        <v>-0</v>
      </c>
      <c r="C16" s="44" t="n">
        <f aca="false">-IF(AND(2027&gt;=2027,2027&lt;=2027+'Costs &amp; Capex'!$C$26-1),'Costs &amp; Capex'!$C$27,0)</f>
        <v>-182.666666666667</v>
      </c>
      <c r="D16" s="44" t="n">
        <f aca="false">-IF(AND(2028&gt;=2027,2028&lt;=2027+'Costs &amp; Capex'!$C$26-1),'Costs &amp; Capex'!$C$27,0)</f>
        <v>-182.666666666667</v>
      </c>
      <c r="E16" s="44" t="n">
        <f aca="false">-IF(AND(2029&gt;=2027,2029&lt;=2027+'Costs &amp; Capex'!$C$26-1),'Costs &amp; Capex'!$C$27,0)</f>
        <v>-182.666666666667</v>
      </c>
      <c r="F16" s="44" t="n">
        <f aca="false">-IF(AND(2030&gt;=2027,2030&lt;=2027+'Costs &amp; Capex'!$C$26-1),'Costs &amp; Capex'!$C$27,0)</f>
        <v>-182.666666666667</v>
      </c>
      <c r="G16" s="44" t="n">
        <f aca="false">-IF(AND(2031&gt;=2027,2031&lt;=2027+'Costs &amp; Capex'!$C$26-1),'Costs &amp; Capex'!$C$27,0)</f>
        <v>-182.666666666667</v>
      </c>
      <c r="H16" s="44" t="n">
        <f aca="false">-IF(AND(2032&gt;=2027,2032&lt;=2027+'Costs &amp; Capex'!$C$26-1),'Costs &amp; Capex'!$C$27,0)</f>
        <v>-182.666666666667</v>
      </c>
      <c r="I16" s="44" t="n">
        <f aca="false">-IF(AND(2033&gt;=2027,2033&lt;=2027+'Costs &amp; Capex'!$C$26-1),'Costs &amp; Capex'!$C$27,0)</f>
        <v>-182.666666666667</v>
      </c>
      <c r="J16" s="44" t="n">
        <f aca="false">-IF(AND(2034&gt;=2027,2034&lt;=2027+'Costs &amp; Capex'!$C$26-1),'Costs &amp; Capex'!$C$27,0)</f>
        <v>-182.666666666667</v>
      </c>
      <c r="K16" s="44" t="n">
        <f aca="false">-IF(AND(2035&gt;=2027,2035&lt;=2027+'Costs &amp; Capex'!$C$26-1),'Costs &amp; Capex'!$C$27,0)</f>
        <v>-182.666666666667</v>
      </c>
      <c r="L16" s="45" t="n">
        <f aca="false">SUM(B16:K16)</f>
        <v>-1644</v>
      </c>
    </row>
    <row r="17" customFormat="false" ht="13.5" hidden="false" customHeight="true" outlineLevel="0" collapsed="false">
      <c r="A17" s="43" t="s">
        <v>106</v>
      </c>
      <c r="B17" s="44" t="n">
        <f aca="false">B14+B16</f>
        <v>0</v>
      </c>
      <c r="C17" s="44" t="n">
        <f aca="false">C14+C16</f>
        <v>14.6333333333334</v>
      </c>
      <c r="D17" s="44" t="n">
        <f aca="false">D14+D16</f>
        <v>173.933333333333</v>
      </c>
      <c r="E17" s="44" t="n">
        <f aca="false">E14+E16</f>
        <v>173.933333333333</v>
      </c>
      <c r="F17" s="44" t="n">
        <f aca="false">F14+F16</f>
        <v>173.933333333333</v>
      </c>
      <c r="G17" s="44" t="n">
        <f aca="false">G14+G16</f>
        <v>173.933333333333</v>
      </c>
      <c r="H17" s="44" t="n">
        <f aca="false">H14+H16</f>
        <v>173.933333333333</v>
      </c>
      <c r="I17" s="44" t="n">
        <f aca="false">I14+I16</f>
        <v>173.933333333333</v>
      </c>
      <c r="J17" s="44" t="n">
        <f aca="false">J14+J16</f>
        <v>173.933333333333</v>
      </c>
      <c r="K17" s="44" t="n">
        <f aca="false">K14+K16</f>
        <v>173.933333333333</v>
      </c>
      <c r="L17" s="45" t="n">
        <f aca="false">SUM(B17:K17)</f>
        <v>1406.1</v>
      </c>
    </row>
    <row r="18" customFormat="false" ht="13.5" hidden="false" customHeight="true" outlineLevel="0" collapsed="false">
      <c r="A18" s="34" t="s">
        <v>107</v>
      </c>
      <c r="B18" s="38" t="n">
        <f aca="false">-B17*Assumptions!$B$23</f>
        <v>-0</v>
      </c>
      <c r="C18" s="38" t="n">
        <f aca="false">-C17*Assumptions!$B$23</f>
        <v>-1.317</v>
      </c>
      <c r="D18" s="38" t="n">
        <f aca="false">-D17*Assumptions!$B$23</f>
        <v>-15.654</v>
      </c>
      <c r="E18" s="38" t="n">
        <f aca="false">-E17*Assumptions!$B$23</f>
        <v>-15.654</v>
      </c>
      <c r="F18" s="38" t="n">
        <f aca="false">-F17*Assumptions!$B$23</f>
        <v>-15.654</v>
      </c>
      <c r="G18" s="38" t="n">
        <f aca="false">-G17*Assumptions!$B$23</f>
        <v>-15.654</v>
      </c>
      <c r="H18" s="38" t="n">
        <f aca="false">-H17*Assumptions!$B$23</f>
        <v>-15.654</v>
      </c>
      <c r="I18" s="38" t="n">
        <f aca="false">-I17*Assumptions!$B$23</f>
        <v>-15.654</v>
      </c>
      <c r="J18" s="38" t="n">
        <f aca="false">-J17*Assumptions!$B$23</f>
        <v>-15.654</v>
      </c>
      <c r="K18" s="38" t="n">
        <f aca="false">-K17*Assumptions!$B$23</f>
        <v>-15.654</v>
      </c>
      <c r="L18" s="39" t="n">
        <f aca="false">SUM(B18:K18)</f>
        <v>-126.549</v>
      </c>
    </row>
    <row r="19" customFormat="false" ht="16.5" hidden="false" customHeight="true" outlineLevel="0" collapsed="false">
      <c r="A19" s="10" t="s">
        <v>108</v>
      </c>
      <c r="B19" s="10"/>
      <c r="C19" s="10"/>
      <c r="D19" s="10"/>
      <c r="E19" s="10"/>
      <c r="F19" s="10"/>
      <c r="G19" s="10"/>
      <c r="H19" s="10"/>
      <c r="I19" s="10"/>
      <c r="J19" s="10"/>
      <c r="K19" s="10"/>
      <c r="L19" s="10"/>
    </row>
    <row r="20" customFormat="false" ht="13.5" hidden="false" customHeight="true" outlineLevel="0" collapsed="false">
      <c r="A20" s="34" t="s">
        <v>103</v>
      </c>
      <c r="B20" s="38" t="n">
        <f aca="false">B14</f>
        <v>0</v>
      </c>
      <c r="C20" s="38" t="n">
        <f aca="false">C14</f>
        <v>197.3</v>
      </c>
      <c r="D20" s="38" t="n">
        <f aca="false">D14</f>
        <v>356.6</v>
      </c>
      <c r="E20" s="38" t="n">
        <f aca="false">E14</f>
        <v>356.6</v>
      </c>
      <c r="F20" s="38" t="n">
        <f aca="false">F14</f>
        <v>356.6</v>
      </c>
      <c r="G20" s="38" t="n">
        <f aca="false">G14</f>
        <v>356.6</v>
      </c>
      <c r="H20" s="38" t="n">
        <f aca="false">H14</f>
        <v>356.6</v>
      </c>
      <c r="I20" s="38" t="n">
        <f aca="false">I14</f>
        <v>356.6</v>
      </c>
      <c r="J20" s="38" t="n">
        <f aca="false">J14</f>
        <v>356.6</v>
      </c>
      <c r="K20" s="38" t="n">
        <f aca="false">K14</f>
        <v>356.6</v>
      </c>
      <c r="L20" s="39" t="n">
        <f aca="false">SUM(B20:K20)</f>
        <v>3050.1</v>
      </c>
    </row>
    <row r="21" customFormat="false" ht="13.5" hidden="false" customHeight="true" outlineLevel="0" collapsed="false">
      <c r="A21" s="34" t="s">
        <v>107</v>
      </c>
      <c r="B21" s="38" t="n">
        <f aca="false">B18</f>
        <v>-0</v>
      </c>
      <c r="C21" s="38" t="n">
        <f aca="false">C18</f>
        <v>-1.317</v>
      </c>
      <c r="D21" s="38" t="n">
        <f aca="false">D18</f>
        <v>-15.654</v>
      </c>
      <c r="E21" s="38" t="n">
        <f aca="false">E18</f>
        <v>-15.654</v>
      </c>
      <c r="F21" s="38" t="n">
        <f aca="false">F18</f>
        <v>-15.654</v>
      </c>
      <c r="G21" s="38" t="n">
        <f aca="false">G18</f>
        <v>-15.654</v>
      </c>
      <c r="H21" s="38" t="n">
        <f aca="false">H18</f>
        <v>-15.654</v>
      </c>
      <c r="I21" s="38" t="n">
        <f aca="false">I18</f>
        <v>-15.654</v>
      </c>
      <c r="J21" s="38" t="n">
        <f aca="false">J18</f>
        <v>-15.654</v>
      </c>
      <c r="K21" s="38" t="n">
        <f aca="false">K18</f>
        <v>-15.654</v>
      </c>
      <c r="L21" s="39" t="n">
        <f aca="false">SUM(B21:K21)</f>
        <v>-126.549</v>
      </c>
    </row>
    <row r="22" customFormat="false" ht="13.5" hidden="false" customHeight="true" outlineLevel="0" collapsed="false">
      <c r="A22" s="34" t="s">
        <v>109</v>
      </c>
      <c r="B22" s="38" t="n">
        <f aca="false">-SUMIFS('Costs &amp; Capex'!$C$6:$C$12,'Costs &amp; Capex'!$E$6:$E$12,2026)</f>
        <v>-1755</v>
      </c>
      <c r="C22" s="38" t="n">
        <f aca="false">-SUMIFS('Costs &amp; Capex'!$C$6:$C$12,'Costs &amp; Capex'!$E$6:$E$12,2027)</f>
        <v>-75</v>
      </c>
      <c r="D22" s="38" t="n">
        <f aca="false">-SUMIFS('Costs &amp; Capex'!$C$6:$C$12,'Costs &amp; Capex'!$E$6:$E$12,2028)</f>
        <v>-0</v>
      </c>
      <c r="E22" s="38" t="n">
        <f aca="false">-SUMIFS('Costs &amp; Capex'!$C$6:$C$12,'Costs &amp; Capex'!$E$6:$E$12,2029)</f>
        <v>-0</v>
      </c>
      <c r="F22" s="38" t="n">
        <f aca="false">-SUMIFS('Costs &amp; Capex'!$C$6:$C$12,'Costs &amp; Capex'!$E$6:$E$12,2030)</f>
        <v>-0</v>
      </c>
      <c r="G22" s="38" t="n">
        <f aca="false">-SUMIFS('Costs &amp; Capex'!$C$6:$C$12,'Costs &amp; Capex'!$E$6:$E$12,2031)</f>
        <v>-0</v>
      </c>
      <c r="H22" s="38" t="n">
        <f aca="false">-SUMIFS('Costs &amp; Capex'!$C$6:$C$12,'Costs &amp; Capex'!$E$6:$E$12,2032)</f>
        <v>-0</v>
      </c>
      <c r="I22" s="38" t="n">
        <f aca="false">-SUMIFS('Costs &amp; Capex'!$C$6:$C$12,'Costs &amp; Capex'!$E$6:$E$12,2033)</f>
        <v>-0</v>
      </c>
      <c r="J22" s="38" t="n">
        <f aca="false">-SUMIFS('Costs &amp; Capex'!$C$6:$C$12,'Costs &amp; Capex'!$E$6:$E$12,2034)</f>
        <v>-0</v>
      </c>
      <c r="K22" s="38" t="n">
        <f aca="false">-SUMIFS('Costs &amp; Capex'!$C$6:$C$12,'Costs &amp; Capex'!$E$6:$E$12,2035)</f>
        <v>-0</v>
      </c>
      <c r="L22" s="39" t="n">
        <f aca="false">SUM(B22:K22)</f>
        <v>-1830</v>
      </c>
    </row>
    <row r="23" customFormat="false" ht="13.5" hidden="false" customHeight="true" outlineLevel="0" collapsed="false">
      <c r="A23" s="34" t="s">
        <v>110</v>
      </c>
      <c r="B23" s="38" t="n">
        <f aca="false">-IF(2026=Assumptions!$B$26,Assumptions!$B$25,0)</f>
        <v>-0</v>
      </c>
      <c r="C23" s="38" t="n">
        <f aca="false">-IF(2027=Assumptions!$B$26,Assumptions!$B$25,0)</f>
        <v>-0</v>
      </c>
      <c r="D23" s="38" t="n">
        <f aca="false">-IF(2028=Assumptions!$B$26,Assumptions!$B$25,0)</f>
        <v>-0</v>
      </c>
      <c r="E23" s="38" t="n">
        <f aca="false">-IF(2029=Assumptions!$B$26,Assumptions!$B$25,0)</f>
        <v>-0</v>
      </c>
      <c r="F23" s="38" t="n">
        <f aca="false">-IF(2030=Assumptions!$B$26,Assumptions!$B$25,0)</f>
        <v>-0</v>
      </c>
      <c r="G23" s="38" t="n">
        <f aca="false">-IF(2031=Assumptions!$B$26,Assumptions!$B$25,0)</f>
        <v>-95</v>
      </c>
      <c r="H23" s="38" t="n">
        <f aca="false">-IF(2032=Assumptions!$B$26,Assumptions!$B$25,0)</f>
        <v>-0</v>
      </c>
      <c r="I23" s="38" t="n">
        <f aca="false">-IF(2033=Assumptions!$B$26,Assumptions!$B$25,0)</f>
        <v>-0</v>
      </c>
      <c r="J23" s="38" t="n">
        <f aca="false">-IF(2034=Assumptions!$B$26,Assumptions!$B$25,0)</f>
        <v>-0</v>
      </c>
      <c r="K23" s="38" t="n">
        <f aca="false">-IF(2035=Assumptions!$B$26,Assumptions!$B$25,0)</f>
        <v>-0</v>
      </c>
      <c r="L23" s="39" t="n">
        <f aca="false">SUM(B23:K23)</f>
        <v>-95</v>
      </c>
    </row>
    <row r="24" customFormat="false" ht="13.5" hidden="false" customHeight="true" outlineLevel="0" collapsed="false">
      <c r="A24" s="34" t="s">
        <v>77</v>
      </c>
      <c r="B24" s="38" t="n">
        <f aca="false">IF(2026=2035,Assumptions!$B$27,0)</f>
        <v>0</v>
      </c>
      <c r="C24" s="38" t="n">
        <f aca="false">IF(2027=2035,Assumptions!$B$27,0)</f>
        <v>0</v>
      </c>
      <c r="D24" s="38" t="n">
        <f aca="false">IF(2028=2035,Assumptions!$B$27,0)</f>
        <v>0</v>
      </c>
      <c r="E24" s="38" t="n">
        <f aca="false">IF(2029=2035,Assumptions!$B$27,0)</f>
        <v>0</v>
      </c>
      <c r="F24" s="38" t="n">
        <f aca="false">IF(2030=2035,Assumptions!$B$27,0)</f>
        <v>0</v>
      </c>
      <c r="G24" s="38" t="n">
        <f aca="false">IF(2031=2035,Assumptions!$B$27,0)</f>
        <v>0</v>
      </c>
      <c r="H24" s="38" t="n">
        <f aca="false">IF(2032=2035,Assumptions!$B$27,0)</f>
        <v>0</v>
      </c>
      <c r="I24" s="38" t="n">
        <f aca="false">IF(2033=2035,Assumptions!$B$27,0)</f>
        <v>0</v>
      </c>
      <c r="J24" s="38" t="n">
        <f aca="false">IF(2034=2035,Assumptions!$B$27,0)</f>
        <v>0</v>
      </c>
      <c r="K24" s="38" t="n">
        <f aca="false">IF(2035=2035,Assumptions!$B$27,0)</f>
        <v>186</v>
      </c>
      <c r="L24" s="39" t="n">
        <f aca="false">SUM(B24:K24)</f>
        <v>186</v>
      </c>
    </row>
    <row r="25" customFormat="false" ht="13.5" hidden="false" customHeight="true" outlineLevel="0" collapsed="false">
      <c r="A25" s="34" t="s">
        <v>111</v>
      </c>
      <c r="B25" s="38" t="n">
        <f aca="false">-IF(2026=2027,Assumptions!$B$24,0)+IF(2026=2035,Assumptions!$B$24,0)</f>
        <v>0</v>
      </c>
      <c r="C25" s="38" t="n">
        <f aca="false">-IF(2027=2027,Assumptions!$B$24,0)+IF(2027=2035,Assumptions!$B$24,0)</f>
        <v>-95</v>
      </c>
      <c r="D25" s="38" t="n">
        <f aca="false">-IF(2028=2027,Assumptions!$B$24,0)+IF(2028=2035,Assumptions!$B$24,0)</f>
        <v>0</v>
      </c>
      <c r="E25" s="38" t="n">
        <f aca="false">-IF(2029=2027,Assumptions!$B$24,0)+IF(2029=2035,Assumptions!$B$24,0)</f>
        <v>0</v>
      </c>
      <c r="F25" s="38" t="n">
        <f aca="false">-IF(2030=2027,Assumptions!$B$24,0)+IF(2030=2035,Assumptions!$B$24,0)</f>
        <v>0</v>
      </c>
      <c r="G25" s="38" t="n">
        <f aca="false">-IF(2031=2027,Assumptions!$B$24,0)+IF(2031=2035,Assumptions!$B$24,0)</f>
        <v>0</v>
      </c>
      <c r="H25" s="38" t="n">
        <f aca="false">-IF(2032=2027,Assumptions!$B$24,0)+IF(2032=2035,Assumptions!$B$24,0)</f>
        <v>0</v>
      </c>
      <c r="I25" s="38" t="n">
        <f aca="false">-IF(2033=2027,Assumptions!$B$24,0)+IF(2033=2035,Assumptions!$B$24,0)</f>
        <v>0</v>
      </c>
      <c r="J25" s="38" t="n">
        <f aca="false">-IF(2034=2027,Assumptions!$B$24,0)+IF(2034=2035,Assumptions!$B$24,0)</f>
        <v>0</v>
      </c>
      <c r="K25" s="38" t="n">
        <f aca="false">-IF(2035=2027,Assumptions!$B$24,0)+IF(2035=2035,Assumptions!$B$24,0)</f>
        <v>95</v>
      </c>
      <c r="L25" s="39" t="n">
        <f aca="false">SUM(B25:K25)</f>
        <v>0</v>
      </c>
    </row>
    <row r="26" customFormat="false" ht="13.5" hidden="false" customHeight="true" outlineLevel="0" collapsed="false">
      <c r="A26" s="40" t="s">
        <v>112</v>
      </c>
      <c r="B26" s="41" t="n">
        <f aca="false">SUM(B20:B25)</f>
        <v>-1755</v>
      </c>
      <c r="C26" s="41" t="n">
        <f aca="false">SUM(C20:C25)</f>
        <v>25.983</v>
      </c>
      <c r="D26" s="41" t="n">
        <f aca="false">SUM(D20:D25)</f>
        <v>340.946</v>
      </c>
      <c r="E26" s="41" t="n">
        <f aca="false">SUM(E20:E25)</f>
        <v>340.946</v>
      </c>
      <c r="F26" s="41" t="n">
        <f aca="false">SUM(F20:F25)</f>
        <v>340.946</v>
      </c>
      <c r="G26" s="41" t="n">
        <f aca="false">SUM(G20:G25)</f>
        <v>245.946</v>
      </c>
      <c r="H26" s="41" t="n">
        <f aca="false">SUM(H20:H25)</f>
        <v>340.946</v>
      </c>
      <c r="I26" s="41" t="n">
        <f aca="false">SUM(I20:I25)</f>
        <v>340.946</v>
      </c>
      <c r="J26" s="41" t="n">
        <f aca="false">SUM(J20:J25)</f>
        <v>340.946</v>
      </c>
      <c r="K26" s="41" t="n">
        <f aca="false">SUM(K20:K25)</f>
        <v>621.946</v>
      </c>
      <c r="L26" s="42" t="n">
        <f aca="false">SUM(B26:K26)</f>
        <v>1184.551</v>
      </c>
    </row>
    <row r="27" customFormat="false" ht="16.5" hidden="false" customHeight="true" outlineLevel="0" collapsed="false">
      <c r="A27" s="10" t="s">
        <v>113</v>
      </c>
      <c r="B27" s="10"/>
      <c r="C27" s="10"/>
      <c r="D27" s="10"/>
      <c r="E27" s="10"/>
      <c r="F27" s="10"/>
      <c r="G27" s="10"/>
      <c r="H27" s="10"/>
      <c r="I27" s="10"/>
      <c r="J27" s="10"/>
      <c r="K27" s="10"/>
      <c r="L27" s="10"/>
    </row>
    <row r="28" customFormat="false" ht="13.5" hidden="false" customHeight="true" outlineLevel="0" collapsed="false">
      <c r="A28" s="34" t="s">
        <v>114</v>
      </c>
      <c r="B28" s="46" t="n">
        <f aca="false">1/(1+WACC!$B$22)^B6</f>
        <v>0.950443247520335</v>
      </c>
      <c r="C28" s="46" t="n">
        <f aca="false">1/(1+WACC!$B$22)^C6</f>
        <v>0.85857565268323</v>
      </c>
      <c r="D28" s="46" t="n">
        <f aca="false">1/(1+WACC!$B$22)^D6</f>
        <v>0.775587762134805</v>
      </c>
      <c r="E28" s="46" t="n">
        <f aca="false">1/(1+WACC!$B$22)^E6</f>
        <v>0.700621284674621</v>
      </c>
      <c r="F28" s="46" t="n">
        <f aca="false">1/(1+WACC!$B$22)^F6</f>
        <v>0.632900889498303</v>
      </c>
      <c r="G28" s="46" t="n">
        <f aca="false">1/(1+WACC!$B$22)^G6</f>
        <v>0.571726187442008</v>
      </c>
      <c r="H28" s="46" t="n">
        <f aca="false">1/(1+WACC!$B$22)^H6</f>
        <v>0.51646448730082</v>
      </c>
      <c r="I28" s="46" t="n">
        <f aca="false">1/(1+WACC!$B$22)^I6</f>
        <v>0.466544252304264</v>
      </c>
      <c r="J28" s="46" t="n">
        <f aca="false">1/(1+WACC!$B$22)^J6</f>
        <v>0.421449189073409</v>
      </c>
      <c r="K28" s="46" t="n">
        <f aca="false">1/(1+WACC!$B$22)^K6</f>
        <v>0.380712907925392</v>
      </c>
      <c r="L28" s="47"/>
    </row>
    <row r="29" customFormat="false" ht="13.5" hidden="false" customHeight="true" outlineLevel="0" collapsed="false">
      <c r="A29" s="40" t="s">
        <v>115</v>
      </c>
      <c r="B29" s="48" t="n">
        <f aca="false">B26*B28</f>
        <v>-1668.02789939819</v>
      </c>
      <c r="C29" s="48" t="n">
        <f aca="false">C26*C28</f>
        <v>22.3083711836684</v>
      </c>
      <c r="D29" s="48" t="n">
        <f aca="false">D26*D28</f>
        <v>264.433545148813</v>
      </c>
      <c r="E29" s="48" t="n">
        <f aca="false">E26*E28</f>
        <v>238.874024524673</v>
      </c>
      <c r="F29" s="48" t="n">
        <f aca="false">F26*F28</f>
        <v>215.785026670888</v>
      </c>
      <c r="G29" s="48" t="n">
        <f aca="false">G26*G28</f>
        <v>140.613768896612</v>
      </c>
      <c r="H29" s="48" t="n">
        <f aca="false">H26*H28</f>
        <v>176.086501087265</v>
      </c>
      <c r="I29" s="48" t="n">
        <f aca="false">I26*I28</f>
        <v>159.06639664613</v>
      </c>
      <c r="J29" s="48" t="n">
        <f aca="false">J26*J28</f>
        <v>143.691415217823</v>
      </c>
      <c r="K29" s="48" t="n">
        <f aca="false">K26*K28</f>
        <v>236.782870232566</v>
      </c>
      <c r="L29" s="49" t="n">
        <f aca="false">SUM(B29:K29)</f>
        <v>-70.3859797897492</v>
      </c>
    </row>
    <row r="30" customFormat="false" ht="13.5" hidden="false" customHeight="true" outlineLevel="0" collapsed="false">
      <c r="A30" s="40" t="s">
        <v>116</v>
      </c>
      <c r="B30" s="50" t="n">
        <f aca="false">B29</f>
        <v>-1668.02789939819</v>
      </c>
      <c r="C30" s="50" t="n">
        <f aca="false">B30+C29</f>
        <v>-1645.71952821452</v>
      </c>
      <c r="D30" s="50" t="n">
        <f aca="false">C30+D29</f>
        <v>-1381.28598306571</v>
      </c>
      <c r="E30" s="50" t="n">
        <f aca="false">D30+E29</f>
        <v>-1142.41195854103</v>
      </c>
      <c r="F30" s="50" t="n">
        <f aca="false">E30+F29</f>
        <v>-926.626931870145</v>
      </c>
      <c r="G30" s="50" t="n">
        <f aca="false">F30+G29</f>
        <v>-786.013162973533</v>
      </c>
      <c r="H30" s="50" t="n">
        <f aca="false">G30+H29</f>
        <v>-609.926661886267</v>
      </c>
      <c r="I30" s="50" t="n">
        <f aca="false">H30+I29</f>
        <v>-450.860265240138</v>
      </c>
      <c r="J30" s="50" t="n">
        <f aca="false">I30+J29</f>
        <v>-307.168850022315</v>
      </c>
      <c r="K30" s="50" t="n">
        <f aca="false">J30+K29</f>
        <v>-70.3859797897492</v>
      </c>
      <c r="L30" s="51" t="n">
        <f aca="false">K30</f>
        <v>-70.3859797897492</v>
      </c>
    </row>
    <row r="31" customFormat="false" ht="13.5" hidden="false" customHeight="true" outlineLevel="0" collapsed="false">
      <c r="A31" s="34" t="s">
        <v>117</v>
      </c>
      <c r="B31" s="38" t="n">
        <f aca="false">B26</f>
        <v>-1755</v>
      </c>
      <c r="C31" s="38" t="n">
        <f aca="false">B31+C26</f>
        <v>-1729.017</v>
      </c>
      <c r="D31" s="38" t="n">
        <f aca="false">C31+D26</f>
        <v>-1388.071</v>
      </c>
      <c r="E31" s="38" t="n">
        <f aca="false">D31+E26</f>
        <v>-1047.125</v>
      </c>
      <c r="F31" s="38" t="n">
        <f aca="false">E31+F26</f>
        <v>-706.179</v>
      </c>
      <c r="G31" s="38" t="n">
        <f aca="false">F31+G26</f>
        <v>-460.233</v>
      </c>
      <c r="H31" s="38" t="n">
        <f aca="false">G31+H26</f>
        <v>-119.286999999999</v>
      </c>
      <c r="I31" s="38" t="n">
        <f aca="false">H31+I26</f>
        <v>221.659000000001</v>
      </c>
      <c r="J31" s="38" t="n">
        <f aca="false">I31+J26</f>
        <v>562.605000000001</v>
      </c>
      <c r="K31" s="38" t="n">
        <f aca="false">J31+K26</f>
        <v>1184.551</v>
      </c>
      <c r="L31" s="39" t="n">
        <f aca="false">K31</f>
        <v>1184.551</v>
      </c>
    </row>
    <row r="33" customFormat="false" ht="16.5" hidden="false" customHeight="true" outlineLevel="0" collapsed="false">
      <c r="A33" s="10" t="s">
        <v>118</v>
      </c>
      <c r="B33" s="10"/>
      <c r="C33" s="10"/>
      <c r="D33" s="10"/>
      <c r="E33" s="10"/>
      <c r="F33" s="10"/>
    </row>
    <row r="34" customFormat="false" ht="15.75" hidden="false" customHeight="true" outlineLevel="0" collapsed="false">
      <c r="A34" s="52" t="s">
        <v>119</v>
      </c>
      <c r="B34" s="53" t="n">
        <f aca="false">SUM($B$29:$K$29)</f>
        <v>-70.3859797897492</v>
      </c>
      <c r="C34" s="54" t="s">
        <v>120</v>
      </c>
      <c r="D34" s="54"/>
      <c r="E34" s="54"/>
      <c r="F34" s="54"/>
      <c r="G34" s="54"/>
      <c r="H34" s="54"/>
      <c r="I34" s="54"/>
      <c r="J34" s="54"/>
      <c r="K34" s="54"/>
      <c r="L34" s="54"/>
    </row>
    <row r="35" customFormat="false" ht="15.75" hidden="false" customHeight="true" outlineLevel="0" collapsed="false">
      <c r="A35" s="55" t="s">
        <v>121</v>
      </c>
      <c r="B35" s="56" t="n">
        <f aca="false">SUMPRODUCT($B$26:$K$26,1/(1+WACC!$B$23)^$B$6:$K$6)</f>
        <v>-162.662345018333</v>
      </c>
      <c r="C35" s="54" t="s">
        <v>122</v>
      </c>
      <c r="D35" s="54"/>
      <c r="E35" s="54"/>
      <c r="F35" s="54"/>
      <c r="G35" s="54"/>
      <c r="H35" s="54"/>
      <c r="I35" s="54"/>
      <c r="J35" s="54"/>
      <c r="K35" s="54"/>
      <c r="L35" s="54"/>
    </row>
    <row r="36" customFormat="false" ht="15.75" hidden="false" customHeight="true" outlineLevel="0" collapsed="false">
      <c r="A36" s="52" t="s">
        <v>123</v>
      </c>
      <c r="B36" s="57" t="n">
        <f aca="false">IRR($B$26:$K$26)</f>
        <v>0.0978785949966719</v>
      </c>
      <c r="C36" s="54" t="s">
        <v>124</v>
      </c>
      <c r="D36" s="54"/>
      <c r="E36" s="54"/>
      <c r="F36" s="54"/>
      <c r="G36" s="54"/>
      <c r="H36" s="54"/>
      <c r="I36" s="54"/>
      <c r="J36" s="54"/>
      <c r="K36" s="54"/>
      <c r="L36" s="54"/>
    </row>
    <row r="37" customFormat="false" ht="15.75" hidden="false" customHeight="true" outlineLevel="0" collapsed="false">
      <c r="A37" s="55" t="s">
        <v>125</v>
      </c>
      <c r="B37" s="58" t="n">
        <f aca="false">MIRR($B$26:$K$26,WACC!$B$22,WACC!$B$22)</f>
        <v>0.10170974679503</v>
      </c>
      <c r="C37" s="54" t="s">
        <v>126</v>
      </c>
      <c r="D37" s="54"/>
      <c r="E37" s="54"/>
      <c r="F37" s="54"/>
      <c r="G37" s="54"/>
      <c r="H37" s="54"/>
      <c r="I37" s="54"/>
      <c r="J37" s="54"/>
      <c r="K37" s="54"/>
      <c r="L37" s="54"/>
    </row>
    <row r="38" customFormat="false" ht="15.75" hidden="false" customHeight="true" outlineLevel="0" collapsed="false">
      <c r="A38" s="55" t="s">
        <v>127</v>
      </c>
      <c r="B38" s="59" t="n">
        <f aca="false">IFERROR(MATCH(0,$B$31:$K$31,1)-1+(-INDEX($B$31:$K$31,MATCH(0,$B$31:$K$31,1))/INDEX($B$26:$K$26,MATCH(0,$B$31:$K$31,1)+1)),"beyond the period")</f>
        <v>6.34987065400386</v>
      </c>
      <c r="C38" s="54" t="s">
        <v>128</v>
      </c>
      <c r="D38" s="54"/>
      <c r="E38" s="54"/>
      <c r="F38" s="54"/>
      <c r="G38" s="54"/>
      <c r="H38" s="54"/>
      <c r="I38" s="54"/>
      <c r="J38" s="54"/>
      <c r="K38" s="54"/>
      <c r="L38" s="54"/>
    </row>
    <row r="39" customFormat="false" ht="15.75" hidden="false" customHeight="true" outlineLevel="0" collapsed="false">
      <c r="A39" s="55" t="s">
        <v>129</v>
      </c>
      <c r="B39" s="59" t="str">
        <f aca="false">IFERROR(MATCH(0,$B$30:$K$30,1)-1+(-INDEX($B$30:$K$30,MATCH(0,$B$30:$K$30,1))/INDEX($B$29:$K$29,MATCH(0,$B$30:$K$30,1)+1)),"beyond the period")</f>
        <v>beyond the period</v>
      </c>
      <c r="C39" s="54" t="s">
        <v>130</v>
      </c>
      <c r="D39" s="54"/>
      <c r="E39" s="54"/>
      <c r="F39" s="54"/>
      <c r="G39" s="54"/>
      <c r="H39" s="54"/>
      <c r="I39" s="54"/>
      <c r="J39" s="54"/>
      <c r="K39" s="54"/>
      <c r="L39" s="54"/>
    </row>
    <row r="40" customFormat="false" ht="15.75" hidden="false" customHeight="true" outlineLevel="0" collapsed="false">
      <c r="A40" s="55" t="s">
        <v>131</v>
      </c>
      <c r="B40" s="60" t="n">
        <f aca="false">1+$B$35/Assumptions!$B$17</f>
        <v>0.911113472667578</v>
      </c>
      <c r="C40" s="54" t="s">
        <v>132</v>
      </c>
      <c r="D40" s="54"/>
      <c r="E40" s="54"/>
      <c r="F40" s="54"/>
      <c r="G40" s="54"/>
      <c r="H40" s="54"/>
      <c r="I40" s="54"/>
      <c r="J40" s="54"/>
      <c r="K40" s="54"/>
      <c r="L40" s="54"/>
    </row>
    <row r="41" customFormat="false" ht="24.75" hidden="false" customHeight="true" outlineLevel="0" collapsed="false">
      <c r="A41" s="55" t="s">
        <v>133</v>
      </c>
      <c r="B41" s="58" t="n">
        <f aca="false">SUM($B$10:$K$10)/SUM($B$10:$K$12)</f>
        <v>0.735183129855716</v>
      </c>
      <c r="C41" s="54" t="s">
        <v>134</v>
      </c>
      <c r="D41" s="54"/>
      <c r="E41" s="54"/>
      <c r="F41" s="54"/>
      <c r="G41" s="54"/>
      <c r="H41" s="54"/>
      <c r="I41" s="54"/>
      <c r="J41" s="54"/>
      <c r="K41" s="54"/>
      <c r="L41" s="54"/>
    </row>
    <row r="42" customFormat="false" ht="15" hidden="false" customHeight="false" outlineLevel="0" collapsed="false">
      <c r="A42" s="61" t="s">
        <v>135</v>
      </c>
    </row>
  </sheetData>
  <mergeCells count="15">
    <mergeCell ref="A1:L1"/>
    <mergeCell ref="A2:L2"/>
    <mergeCell ref="A8:L8"/>
    <mergeCell ref="A15:L15"/>
    <mergeCell ref="A19:L19"/>
    <mergeCell ref="A27:L27"/>
    <mergeCell ref="A33:F33"/>
    <mergeCell ref="C34:L34"/>
    <mergeCell ref="C35:L35"/>
    <mergeCell ref="C36:L36"/>
    <mergeCell ref="C37:L37"/>
    <mergeCell ref="C38:L38"/>
    <mergeCell ref="C39:L39"/>
    <mergeCell ref="C40:L40"/>
    <mergeCell ref="C41:L41"/>
  </mergeCells>
  <conditionalFormatting sqref="B30:K30">
    <cfRule type="expression" priority="2" aboveAverage="0" equalAverage="0" bottom="0" percent="0" rank="0" text="" dxfId="0">
      <formula>B30&lt;0</formula>
    </cfRule>
  </conditionalFormatting>
  <printOptions headings="false" gridLines="false" gridLinesSet="true" horizontalCentered="false" verticalCentered="false"/>
  <pageMargins left="0.3" right="0.3" top="1" bottom="1" header="0.5" footer="0.5"/>
  <pageSetup paperSize="9" scale="100" fitToWidth="1" fitToHeight="1" pageOrder="downThenOver" orientation="landscape" blackAndWhite="false" draft="false" cellComments="none" horizontalDpi="300" verticalDpi="300" copies="1"/>
  <headerFooter differentFirst="false" differentOddEven="false">
    <oddHeader>&amp;L&amp;"Arial,Bold"&amp;9Halcyon Metalworks Kft.&amp;R&amp;"Arial,Regular"&amp;9CAPITAL INVESTMENT APPRAISAL</oddHeader>
    <oddFooter>&amp;L&amp;"Arial,Regular"&amp;8Illustrative sample, fictional data - prepared by Tarlan Charkasov, ACCA&amp;R&amp;"Arial,Regular"&amp;8Page &amp;P of &amp;N</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0"/>
    <col collapsed="false" customWidth="true" hidden="false" outlineLevel="0" max="7" min="3" style="0" width="12"/>
    <col collapsed="false" customWidth="true" hidden="false" outlineLevel="0" max="9" min="8" style="0" width="13"/>
    <col collapsed="false" customWidth="true" hidden="false" outlineLevel="0" max="10" min="10" style="0" width="62"/>
  </cols>
  <sheetData>
    <row r="1" customFormat="false" ht="24" hidden="false" customHeight="true" outlineLevel="0" collapsed="false">
      <c r="A1" s="32" t="s">
        <v>136</v>
      </c>
      <c r="B1" s="32"/>
      <c r="C1" s="32"/>
      <c r="D1" s="32"/>
      <c r="E1" s="32"/>
      <c r="F1" s="32"/>
      <c r="G1" s="32"/>
      <c r="H1" s="32"/>
      <c r="I1" s="32"/>
      <c r="J1" s="32"/>
    </row>
    <row r="2" customFormat="false" ht="30.75" hidden="false" customHeight="true" outlineLevel="0" collapsed="false">
      <c r="A2" s="33" t="s">
        <v>137</v>
      </c>
      <c r="B2" s="33"/>
      <c r="C2" s="33"/>
      <c r="D2" s="33"/>
      <c r="E2" s="33"/>
      <c r="F2" s="33"/>
      <c r="G2" s="33"/>
      <c r="H2" s="33"/>
      <c r="I2" s="33"/>
      <c r="J2" s="33"/>
    </row>
    <row r="4" customFormat="false" ht="16.5" hidden="false" customHeight="true" outlineLevel="0" collapsed="false">
      <c r="A4" s="10" t="s">
        <v>138</v>
      </c>
      <c r="B4" s="10"/>
      <c r="C4" s="10"/>
      <c r="D4" s="10"/>
      <c r="E4" s="10"/>
      <c r="F4" s="10"/>
      <c r="G4" s="10"/>
      <c r="H4" s="10"/>
      <c r="I4" s="10"/>
      <c r="J4" s="10"/>
    </row>
    <row r="5" customFormat="false" ht="30" hidden="false" customHeight="true" outlineLevel="0" collapsed="false">
      <c r="B5" s="12" t="s">
        <v>139</v>
      </c>
      <c r="C5" s="12" t="s">
        <v>140</v>
      </c>
      <c r="D5" s="12" t="s">
        <v>141</v>
      </c>
      <c r="E5" s="12" t="s">
        <v>142</v>
      </c>
      <c r="F5" s="12" t="s">
        <v>143</v>
      </c>
      <c r="G5" s="12" t="s">
        <v>144</v>
      </c>
      <c r="H5" s="12" t="s">
        <v>145</v>
      </c>
      <c r="I5" s="12" t="s">
        <v>146</v>
      </c>
      <c r="J5" s="12" t="s">
        <v>147</v>
      </c>
    </row>
    <row r="6" customFormat="false" ht="15.75" hidden="false" customHeight="true" outlineLevel="0" collapsed="false">
      <c r="A6" s="62" t="n">
        <v>1</v>
      </c>
      <c r="B6" s="63" t="s">
        <v>148</v>
      </c>
      <c r="C6" s="64" t="n">
        <v>18000</v>
      </c>
      <c r="D6" s="65" t="n">
        <v>0.038</v>
      </c>
      <c r="E6" s="66" t="n">
        <f aca="false">ROUND(C6*D6,0)</f>
        <v>684</v>
      </c>
      <c r="F6" s="67" t="n">
        <v>76</v>
      </c>
      <c r="G6" s="68" t="n">
        <f aca="false">ROUND(E6*F6/1000,1)</f>
        <v>52</v>
      </c>
      <c r="H6" s="68" t="n">
        <f aca="false">ROUND(E6*Assumptions!$B$21/1000,1)</f>
        <v>28</v>
      </c>
      <c r="I6" s="69" t="n">
        <f aca="false">G6-H6</f>
        <v>24</v>
      </c>
      <c r="J6" s="70" t="s">
        <v>149</v>
      </c>
    </row>
    <row r="7" customFormat="false" ht="15.75" hidden="false" customHeight="true" outlineLevel="0" collapsed="false">
      <c r="A7" s="62" t="n">
        <v>2</v>
      </c>
      <c r="B7" s="63" t="s">
        <v>150</v>
      </c>
      <c r="C7" s="64" t="n">
        <v>10000</v>
      </c>
      <c r="D7" s="65" t="n">
        <v>0.062</v>
      </c>
      <c r="E7" s="66" t="n">
        <f aca="false">ROUND(C7*D7,0)</f>
        <v>620</v>
      </c>
      <c r="F7" s="67" t="n">
        <v>82</v>
      </c>
      <c r="G7" s="68" t="n">
        <f aca="false">ROUND(E7*F7/1000,1)</f>
        <v>50.8</v>
      </c>
      <c r="H7" s="68" t="n">
        <f aca="false">ROUND(E7*Assumptions!$B$21/1000,1)</f>
        <v>25.4</v>
      </c>
      <c r="I7" s="69" t="n">
        <f aca="false">G7-H7</f>
        <v>25.4</v>
      </c>
      <c r="J7" s="70" t="s">
        <v>151</v>
      </c>
    </row>
    <row r="8" customFormat="false" ht="15.75" hidden="false" customHeight="true" outlineLevel="0" collapsed="false">
      <c r="A8" s="62" t="n">
        <v>3</v>
      </c>
      <c r="B8" s="63" t="s">
        <v>152</v>
      </c>
      <c r="C8" s="64" t="n">
        <v>5200</v>
      </c>
      <c r="D8" s="65" t="n">
        <v>0.115</v>
      </c>
      <c r="E8" s="66" t="n">
        <f aca="false">ROUND(C8*D8,0)</f>
        <v>598</v>
      </c>
      <c r="F8" s="67" t="n">
        <v>88</v>
      </c>
      <c r="G8" s="68" t="n">
        <f aca="false">ROUND(E8*F8/1000,1)</f>
        <v>52.6</v>
      </c>
      <c r="H8" s="68" t="n">
        <f aca="false">ROUND(E8*Assumptions!$B$21/1000,1)</f>
        <v>24.5</v>
      </c>
      <c r="I8" s="69" t="n">
        <f aca="false">G8-H8</f>
        <v>28.1</v>
      </c>
      <c r="J8" s="70" t="s">
        <v>153</v>
      </c>
    </row>
    <row r="9" customFormat="false" ht="15.75" hidden="false" customHeight="true" outlineLevel="0" collapsed="false">
      <c r="A9" s="62" t="n">
        <v>4</v>
      </c>
      <c r="B9" s="63" t="s">
        <v>154</v>
      </c>
      <c r="C9" s="64" t="n">
        <v>18000</v>
      </c>
      <c r="D9" s="65" t="n">
        <v>0.031</v>
      </c>
      <c r="E9" s="66" t="n">
        <f aca="false">ROUND(C9*D9,0)</f>
        <v>558</v>
      </c>
      <c r="F9" s="67" t="n">
        <v>71</v>
      </c>
      <c r="G9" s="68" t="n">
        <f aca="false">ROUND(E9*F9/1000,1)</f>
        <v>39.6</v>
      </c>
      <c r="H9" s="68" t="n">
        <f aca="false">ROUND(E9*Assumptions!$B$21/1000,1)</f>
        <v>22.9</v>
      </c>
      <c r="I9" s="69" t="n">
        <f aca="false">G9-H9</f>
        <v>16.7</v>
      </c>
      <c r="J9" s="70" t="s">
        <v>155</v>
      </c>
    </row>
    <row r="10" customFormat="false" ht="25.5" hidden="false" customHeight="true" outlineLevel="0" collapsed="false">
      <c r="B10" s="71" t="s">
        <v>156</v>
      </c>
      <c r="C10" s="72" t="n">
        <f aca="false">SUM(C6:C9)</f>
        <v>51200</v>
      </c>
      <c r="D10" s="73"/>
      <c r="E10" s="72" t="n">
        <f aca="false">SUM(E6:E9)</f>
        <v>2460</v>
      </c>
      <c r="F10" s="73"/>
      <c r="G10" s="74" t="n">
        <f aca="false">SUM(G6:G9)</f>
        <v>195</v>
      </c>
      <c r="H10" s="74" t="n">
        <f aca="false">SUM(H6:H9)</f>
        <v>100.8</v>
      </c>
      <c r="I10" s="74" t="n">
        <f aca="false">SUM(I6:I9)</f>
        <v>94.2</v>
      </c>
      <c r="J10" s="75" t="s">
        <v>157</v>
      </c>
    </row>
    <row r="12" customFormat="false" ht="16.5" hidden="false" customHeight="true" outlineLevel="0" collapsed="false">
      <c r="A12" s="10" t="s">
        <v>158</v>
      </c>
      <c r="B12" s="10"/>
      <c r="C12" s="10"/>
      <c r="D12" s="10"/>
      <c r="E12" s="10"/>
      <c r="F12" s="10"/>
      <c r="G12" s="10"/>
      <c r="H12" s="10"/>
      <c r="I12" s="10"/>
      <c r="J12" s="10"/>
    </row>
    <row r="13" customFormat="false" ht="19.5" hidden="false" customHeight="true" outlineLevel="0" collapsed="false">
      <c r="B13" s="12" t="s">
        <v>159</v>
      </c>
      <c r="C13" s="12" t="s">
        <v>160</v>
      </c>
      <c r="D13" s="12" t="s">
        <v>140</v>
      </c>
      <c r="E13" s="12" t="s">
        <v>161</v>
      </c>
      <c r="F13" s="12"/>
      <c r="G13" s="12"/>
      <c r="H13" s="12"/>
      <c r="I13" s="12"/>
      <c r="J13" s="12" t="s">
        <v>147</v>
      </c>
    </row>
    <row r="14" customFormat="false" ht="24.75" hidden="false" customHeight="true" outlineLevel="0" collapsed="false">
      <c r="A14" s="62" t="n">
        <v>1</v>
      </c>
      <c r="B14" s="63" t="s">
        <v>162</v>
      </c>
      <c r="C14" s="67" t="n">
        <v>39.2</v>
      </c>
      <c r="D14" s="76" t="n">
        <f aca="false">$D$19</f>
        <v>26000</v>
      </c>
      <c r="E14" s="68" t="n">
        <f aca="false">ROUND(C14*D14/1000,1)</f>
        <v>1019.2</v>
      </c>
      <c r="J14" s="70" t="s">
        <v>163</v>
      </c>
    </row>
    <row r="15" customFormat="false" ht="24.75" hidden="false" customHeight="true" outlineLevel="0" collapsed="false">
      <c r="A15" s="62" t="n">
        <v>2</v>
      </c>
      <c r="B15" s="63" t="s">
        <v>164</v>
      </c>
      <c r="C15" s="67" t="n">
        <v>-21.1</v>
      </c>
      <c r="D15" s="76" t="n">
        <f aca="false">$D$19</f>
        <v>26000</v>
      </c>
      <c r="E15" s="68" t="n">
        <f aca="false">ROUND(C15*D15/1000,1)</f>
        <v>-548.6</v>
      </c>
      <c r="J15" s="70" t="s">
        <v>165</v>
      </c>
    </row>
    <row r="16" customFormat="false" ht="24.75" hidden="false" customHeight="true" outlineLevel="0" collapsed="false">
      <c r="A16" s="62" t="n">
        <v>3</v>
      </c>
      <c r="B16" s="63" t="s">
        <v>166</v>
      </c>
      <c r="C16" s="77" t="n">
        <f aca="false">-ROUND(Assumptions!$B$21*$D$20,2)</f>
        <v>-2.46</v>
      </c>
      <c r="D16" s="76" t="n">
        <f aca="false">$D$19</f>
        <v>26000</v>
      </c>
      <c r="E16" s="68" t="n">
        <f aca="false">ROUND(C16*D16/1000,1)</f>
        <v>-64</v>
      </c>
      <c r="J16" s="70" t="s">
        <v>167</v>
      </c>
    </row>
    <row r="17" customFormat="false" ht="15.75" hidden="false" customHeight="true" outlineLevel="0" collapsed="false">
      <c r="A17" s="62" t="n">
        <v>4</v>
      </c>
      <c r="B17" s="63" t="s">
        <v>168</v>
      </c>
      <c r="C17" s="67" t="n">
        <v>-2.9</v>
      </c>
      <c r="D17" s="76" t="n">
        <f aca="false">$D$19</f>
        <v>26000</v>
      </c>
      <c r="E17" s="68" t="n">
        <f aca="false">ROUND(C17*D17/1000,1)</f>
        <v>-75.4</v>
      </c>
      <c r="J17" s="70" t="s">
        <v>169</v>
      </c>
    </row>
    <row r="18" customFormat="false" ht="19.4" hidden="false" customHeight="false" outlineLevel="0" collapsed="false">
      <c r="B18" s="71" t="s">
        <v>170</v>
      </c>
      <c r="C18" s="78" t="n">
        <f aca="false">SUM(C14:C17)</f>
        <v>12.74</v>
      </c>
      <c r="D18" s="73"/>
      <c r="E18" s="74" t="n">
        <f aca="false">SUM(E14:E17)</f>
        <v>331.2</v>
      </c>
      <c r="J18" s="75" t="s">
        <v>171</v>
      </c>
    </row>
    <row r="19" customFormat="false" ht="15" hidden="false" customHeight="false" outlineLevel="0" collapsed="false">
      <c r="B19" s="34" t="s">
        <v>140</v>
      </c>
      <c r="D19" s="79" t="n">
        <v>26000</v>
      </c>
      <c r="E19" s="80" t="s">
        <v>172</v>
      </c>
    </row>
    <row r="20" customFormat="false" ht="15" hidden="false" customHeight="false" outlineLevel="0" collapsed="false">
      <c r="B20" s="34" t="s">
        <v>173</v>
      </c>
      <c r="D20" s="81" t="n">
        <v>0.06</v>
      </c>
      <c r="E20" s="82" t="n">
        <f aca="false">ROUND($D$19*$D$20,0)</f>
        <v>1560</v>
      </c>
      <c r="F20" s="83" t="s">
        <v>174</v>
      </c>
      <c r="G20" s="83"/>
      <c r="H20" s="83"/>
      <c r="I20" s="83"/>
      <c r="J20" s="83"/>
    </row>
    <row r="22" customFormat="false" ht="16.5" hidden="false" customHeight="true" outlineLevel="0" collapsed="false">
      <c r="A22" s="10" t="s">
        <v>175</v>
      </c>
      <c r="B22" s="10"/>
      <c r="C22" s="10"/>
      <c r="D22" s="10"/>
      <c r="E22" s="10"/>
      <c r="F22" s="10"/>
      <c r="G22" s="10"/>
      <c r="H22" s="10"/>
      <c r="I22" s="10"/>
      <c r="J22" s="10"/>
    </row>
    <row r="23" customFormat="false" ht="19.5" hidden="false" customHeight="true" outlineLevel="0" collapsed="false">
      <c r="B23" s="12" t="s">
        <v>176</v>
      </c>
      <c r="C23" s="12" t="s">
        <v>177</v>
      </c>
      <c r="D23" s="12"/>
      <c r="E23" s="12" t="s">
        <v>161</v>
      </c>
      <c r="F23" s="12"/>
      <c r="G23" s="12"/>
      <c r="H23" s="12"/>
      <c r="I23" s="12"/>
      <c r="J23" s="12" t="s">
        <v>147</v>
      </c>
    </row>
    <row r="24" customFormat="false" ht="15.75" hidden="false" customHeight="true" outlineLevel="0" collapsed="false">
      <c r="B24" s="63" t="s">
        <v>178</v>
      </c>
      <c r="C24" s="84" t="n">
        <v>4180</v>
      </c>
      <c r="J24" s="70" t="s">
        <v>179</v>
      </c>
    </row>
    <row r="25" customFormat="false" ht="15.75" hidden="false" customHeight="true" outlineLevel="0" collapsed="false">
      <c r="B25" s="63" t="s">
        <v>180</v>
      </c>
      <c r="C25" s="85" t="n">
        <v>0.021</v>
      </c>
      <c r="J25" s="70" t="s">
        <v>181</v>
      </c>
    </row>
    <row r="26" customFormat="false" ht="24.75" hidden="false" customHeight="true" outlineLevel="0" collapsed="false">
      <c r="B26" s="63" t="s">
        <v>182</v>
      </c>
      <c r="C26" s="85" t="n">
        <v>0.015</v>
      </c>
      <c r="J26" s="70" t="s">
        <v>183</v>
      </c>
    </row>
    <row r="27" customFormat="false" ht="25.5" hidden="false" customHeight="true" outlineLevel="0" collapsed="false">
      <c r="B27" s="71" t="s">
        <v>184</v>
      </c>
      <c r="E27" s="74" t="n">
        <f aca="false">ROUND(C24*(C25-C26),1)</f>
        <v>25.1</v>
      </c>
      <c r="J27" s="75" t="s">
        <v>185</v>
      </c>
    </row>
    <row r="29" customFormat="false" ht="16.5" hidden="false" customHeight="true" outlineLevel="0" collapsed="false">
      <c r="A29" s="10" t="s">
        <v>186</v>
      </c>
      <c r="B29" s="10"/>
      <c r="C29" s="10"/>
      <c r="D29" s="10"/>
      <c r="E29" s="10"/>
      <c r="F29" s="10"/>
      <c r="G29" s="10"/>
      <c r="H29" s="10"/>
      <c r="I29" s="10"/>
      <c r="J29" s="10"/>
    </row>
    <row r="30" customFormat="false" ht="15" hidden="false" customHeight="false" outlineLevel="0" collapsed="false">
      <c r="B30" s="63" t="s">
        <v>187</v>
      </c>
      <c r="C30" s="86" t="n">
        <f aca="false">Assumptions!$B$20</f>
        <v>4600</v>
      </c>
      <c r="J30" s="87" t="s">
        <v>188</v>
      </c>
    </row>
    <row r="31" customFormat="false" ht="15" hidden="false" customHeight="false" outlineLevel="0" collapsed="false">
      <c r="B31" s="63" t="s">
        <v>189</v>
      </c>
      <c r="C31" s="86" t="n">
        <f aca="false">'Benefits Build'!$E$10</f>
        <v>2460</v>
      </c>
      <c r="J31" s="87" t="s">
        <v>190</v>
      </c>
    </row>
    <row r="32" customFormat="false" ht="15" hidden="false" customHeight="false" outlineLevel="0" collapsed="false">
      <c r="B32" s="63" t="s">
        <v>191</v>
      </c>
      <c r="C32" s="86" t="n">
        <f aca="false">'Benefits Build'!$E$20</f>
        <v>1560</v>
      </c>
      <c r="J32" s="87" t="s">
        <v>192</v>
      </c>
    </row>
    <row r="33" customFormat="false" ht="25.5" hidden="false" customHeight="true" outlineLevel="0" collapsed="false">
      <c r="B33" s="71" t="s">
        <v>193</v>
      </c>
      <c r="C33" s="88" t="n">
        <f aca="false">(C31+C32)/C30</f>
        <v>0.873913043478261</v>
      </c>
      <c r="J33" s="75" t="s">
        <v>194</v>
      </c>
    </row>
  </sheetData>
  <mergeCells count="7">
    <mergeCell ref="A1:J1"/>
    <mergeCell ref="A2:J2"/>
    <mergeCell ref="A4:J4"/>
    <mergeCell ref="A12:J12"/>
    <mergeCell ref="F20:J20"/>
    <mergeCell ref="A22:J22"/>
    <mergeCell ref="A29:J29"/>
  </mergeCells>
  <printOptions headings="false" gridLines="false" gridLinesSet="true" horizontalCentered="false" verticalCentered="false"/>
  <pageMargins left="0.3" right="0.3" top="1" bottom="1" header="0.5" footer="0.5"/>
  <pageSetup paperSize="9" scale="100" fitToWidth="1" fitToHeight="0" pageOrder="downThenOver" orientation="landscape" blackAndWhite="false" draft="false" cellComments="none" horizontalDpi="300" verticalDpi="300" copies="1"/>
  <headerFooter differentFirst="false" differentOddEven="false">
    <oddHeader>&amp;L&amp;"Arial,Bold"&amp;9Halcyon Metalworks Kft.&amp;R&amp;"Arial,Regular"&amp;9CAPITAL INVESTMENT APPRAISAL</oddHeader>
    <oddFooter>&amp;L&amp;"Arial,Regular"&amp;8Illustrative sample, fictional data - prepared by Tarlan Charkasov, ACCA&amp;R&amp;"Arial,Regular"&amp;8Page &amp;P of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7" min="3" style="0" width="13"/>
    <col collapsed="false" customWidth="true" hidden="false" outlineLevel="0" max="8" min="8" style="0" width="68"/>
  </cols>
  <sheetData>
    <row r="1" customFormat="false" ht="24" hidden="false" customHeight="true" outlineLevel="0" collapsed="false">
      <c r="A1" s="32" t="s">
        <v>195</v>
      </c>
      <c r="B1" s="32"/>
      <c r="C1" s="32"/>
      <c r="D1" s="32"/>
      <c r="E1" s="32"/>
      <c r="F1" s="32"/>
      <c r="G1" s="32"/>
      <c r="H1" s="32"/>
    </row>
    <row r="2" customFormat="false" ht="19.5" hidden="false" customHeight="true" outlineLevel="0" collapsed="false">
      <c r="A2" s="33" t="s">
        <v>196</v>
      </c>
      <c r="B2" s="33"/>
      <c r="C2" s="33"/>
      <c r="D2" s="33"/>
      <c r="E2" s="33"/>
      <c r="F2" s="33"/>
      <c r="G2" s="33"/>
      <c r="H2" s="33"/>
    </row>
    <row r="4" customFormat="false" ht="16.5" hidden="false" customHeight="true" outlineLevel="0" collapsed="false">
      <c r="A4" s="10" t="s">
        <v>197</v>
      </c>
      <c r="B4" s="10"/>
      <c r="C4" s="10"/>
      <c r="D4" s="10"/>
      <c r="E4" s="10"/>
      <c r="F4" s="10"/>
      <c r="G4" s="10"/>
      <c r="H4" s="10"/>
    </row>
    <row r="5" customFormat="false" ht="30" hidden="false" customHeight="true" outlineLevel="0" collapsed="false">
      <c r="B5" s="12" t="s">
        <v>198</v>
      </c>
      <c r="C5" s="12" t="s">
        <v>199</v>
      </c>
      <c r="D5" s="12" t="s">
        <v>200</v>
      </c>
      <c r="E5" s="12" t="s">
        <v>201</v>
      </c>
      <c r="F5" s="12" t="s">
        <v>202</v>
      </c>
      <c r="G5" s="12" t="s">
        <v>203</v>
      </c>
      <c r="H5" s="12" t="s">
        <v>147</v>
      </c>
    </row>
    <row r="6" customFormat="false" ht="24.75" hidden="false" customHeight="true" outlineLevel="0" collapsed="false">
      <c r="A6" s="62" t="n">
        <v>1</v>
      </c>
      <c r="B6" s="63" t="s">
        <v>204</v>
      </c>
      <c r="C6" s="84" t="n">
        <v>310</v>
      </c>
      <c r="D6" s="89" t="n">
        <v>46255</v>
      </c>
      <c r="E6" s="90" t="n">
        <f aca="false">YEAR(D6)</f>
        <v>2026</v>
      </c>
      <c r="F6" s="62" t="s">
        <v>205</v>
      </c>
      <c r="G6" s="91" t="s">
        <v>206</v>
      </c>
      <c r="H6" s="70" t="s">
        <v>207</v>
      </c>
    </row>
    <row r="7" customFormat="false" ht="24.75" hidden="false" customHeight="true" outlineLevel="0" collapsed="false">
      <c r="A7" s="62" t="n">
        <v>2</v>
      </c>
      <c r="B7" s="63" t="s">
        <v>208</v>
      </c>
      <c r="C7" s="84" t="n">
        <v>775</v>
      </c>
      <c r="D7" s="89" t="n">
        <v>46304</v>
      </c>
      <c r="E7" s="90" t="n">
        <f aca="false">YEAR(D7)</f>
        <v>2026</v>
      </c>
      <c r="F7" s="62" t="s">
        <v>209</v>
      </c>
      <c r="G7" s="91" t="s">
        <v>206</v>
      </c>
      <c r="H7" s="70" t="s">
        <v>210</v>
      </c>
    </row>
    <row r="8" customFormat="false" ht="15.75" hidden="false" customHeight="true" outlineLevel="0" collapsed="false">
      <c r="A8" s="62" t="n">
        <v>3</v>
      </c>
      <c r="B8" s="63" t="s">
        <v>211</v>
      </c>
      <c r="C8" s="84" t="n">
        <v>465</v>
      </c>
      <c r="D8" s="89" t="n">
        <v>46346</v>
      </c>
      <c r="E8" s="90" t="n">
        <f aca="false">YEAR(D8)</f>
        <v>2026</v>
      </c>
      <c r="F8" s="62" t="s">
        <v>212</v>
      </c>
      <c r="G8" s="62" t="s">
        <v>213</v>
      </c>
      <c r="H8" s="70" t="s">
        <v>214</v>
      </c>
    </row>
    <row r="9" customFormat="false" ht="15.75" hidden="false" customHeight="true" outlineLevel="0" collapsed="false">
      <c r="A9" s="62" t="n">
        <v>4</v>
      </c>
      <c r="B9" s="63" t="s">
        <v>215</v>
      </c>
      <c r="C9" s="84" t="n">
        <v>85</v>
      </c>
      <c r="D9" s="89" t="n">
        <v>46360</v>
      </c>
      <c r="E9" s="90" t="n">
        <f aca="false">YEAR(D9)</f>
        <v>2026</v>
      </c>
      <c r="F9" s="62"/>
      <c r="G9" s="62" t="s">
        <v>213</v>
      </c>
      <c r="H9" s="70" t="s">
        <v>216</v>
      </c>
    </row>
    <row r="10" customFormat="false" ht="15.75" hidden="false" customHeight="true" outlineLevel="0" collapsed="false">
      <c r="A10" s="62" t="n">
        <v>5</v>
      </c>
      <c r="B10" s="63" t="s">
        <v>217</v>
      </c>
      <c r="C10" s="84" t="n">
        <v>120</v>
      </c>
      <c r="D10" s="89" t="n">
        <v>46374</v>
      </c>
      <c r="E10" s="90" t="n">
        <f aca="false">YEAR(D10)</f>
        <v>2026</v>
      </c>
      <c r="F10" s="62"/>
      <c r="G10" s="62" t="s">
        <v>213</v>
      </c>
      <c r="H10" s="70" t="s">
        <v>218</v>
      </c>
    </row>
    <row r="11" customFormat="false" ht="15.75" hidden="false" customHeight="true" outlineLevel="0" collapsed="false">
      <c r="A11" s="62" t="n">
        <v>6</v>
      </c>
      <c r="B11" s="63" t="s">
        <v>219</v>
      </c>
      <c r="C11" s="84" t="n">
        <v>35</v>
      </c>
      <c r="D11" s="89" t="n">
        <v>46402</v>
      </c>
      <c r="E11" s="90" t="n">
        <f aca="false">YEAR(D11)</f>
        <v>2027</v>
      </c>
      <c r="F11" s="62"/>
      <c r="G11" s="62" t="s">
        <v>213</v>
      </c>
      <c r="H11" s="70" t="s">
        <v>220</v>
      </c>
    </row>
    <row r="12" customFormat="false" ht="15.75" hidden="false" customHeight="true" outlineLevel="0" collapsed="false">
      <c r="A12" s="62" t="n">
        <v>7</v>
      </c>
      <c r="B12" s="63" t="s">
        <v>221</v>
      </c>
      <c r="C12" s="84" t="n">
        <v>40</v>
      </c>
      <c r="D12" s="89" t="n">
        <v>46416</v>
      </c>
      <c r="E12" s="90" t="n">
        <f aca="false">YEAR(D12)</f>
        <v>2027</v>
      </c>
      <c r="F12" s="62"/>
      <c r="G12" s="62" t="s">
        <v>213</v>
      </c>
      <c r="H12" s="70" t="s">
        <v>222</v>
      </c>
    </row>
    <row r="13" customFormat="false" ht="15" hidden="false" customHeight="false" outlineLevel="0" collapsed="false">
      <c r="B13" s="71" t="s">
        <v>223</v>
      </c>
      <c r="C13" s="92" t="n">
        <f aca="false">SUM(C6:C12)</f>
        <v>1830</v>
      </c>
      <c r="D13" s="73"/>
      <c r="E13" s="73"/>
      <c r="F13" s="73"/>
      <c r="G13" s="73"/>
      <c r="H13" s="93" t="s">
        <v>224</v>
      </c>
    </row>
    <row r="14" customFormat="false" ht="15" hidden="false" customHeight="false" outlineLevel="0" collapsed="false">
      <c r="B14" s="94" t="s">
        <v>225</v>
      </c>
      <c r="C14" s="95" t="n">
        <f aca="false">SUMIFS($C$6:$C$12,$E$6:$E$12,2026)</f>
        <v>1755</v>
      </c>
      <c r="D14" s="96" t="s">
        <v>226</v>
      </c>
      <c r="E14" s="95" t="n">
        <f aca="false">SUMIFS($C$6:$C$12,$E$6:$E$12,2027)</f>
        <v>75</v>
      </c>
    </row>
    <row r="16" customFormat="false" ht="16.5" hidden="false" customHeight="true" outlineLevel="0" collapsed="false">
      <c r="A16" s="10" t="s">
        <v>227</v>
      </c>
      <c r="B16" s="10"/>
      <c r="C16" s="10"/>
      <c r="D16" s="10"/>
      <c r="E16" s="10"/>
      <c r="F16" s="10"/>
      <c r="G16" s="10"/>
      <c r="H16" s="10"/>
    </row>
    <row r="17" customFormat="false" ht="19.5" hidden="false" customHeight="true" outlineLevel="0" collapsed="false">
      <c r="B17" s="12" t="s">
        <v>198</v>
      </c>
      <c r="C17" s="12" t="s">
        <v>176</v>
      </c>
      <c r="D17" s="12" t="s">
        <v>228</v>
      </c>
      <c r="E17" s="12" t="s">
        <v>161</v>
      </c>
      <c r="F17" s="12"/>
      <c r="G17" s="12"/>
      <c r="H17" s="12" t="s">
        <v>147</v>
      </c>
    </row>
    <row r="18" customFormat="false" ht="24.75" hidden="false" customHeight="true" outlineLevel="0" collapsed="false">
      <c r="B18" s="63" t="s">
        <v>229</v>
      </c>
      <c r="C18" s="97" t="s">
        <v>230</v>
      </c>
      <c r="D18" s="98"/>
      <c r="E18" s="99" t="n">
        <v>38</v>
      </c>
      <c r="H18" s="70" t="s">
        <v>231</v>
      </c>
    </row>
    <row r="19" customFormat="false" ht="24.75" hidden="false" customHeight="true" outlineLevel="0" collapsed="false">
      <c r="B19" s="63" t="s">
        <v>232</v>
      </c>
      <c r="C19" s="97" t="s">
        <v>233</v>
      </c>
      <c r="D19" s="98"/>
      <c r="E19" s="99" t="n">
        <v>12</v>
      </c>
      <c r="H19" s="70" t="s">
        <v>234</v>
      </c>
    </row>
    <row r="20" customFormat="false" ht="24.75" hidden="false" customHeight="true" outlineLevel="0" collapsed="false">
      <c r="B20" s="63" t="s">
        <v>235</v>
      </c>
      <c r="C20" s="97" t="s">
        <v>236</v>
      </c>
      <c r="D20" s="67" t="n">
        <v>8.4</v>
      </c>
      <c r="E20" s="68" t="n">
        <f aca="false">ROUND(D20*('Benefits Build'!$E$10+'Benefits Build'!$E$20)/1000,1)</f>
        <v>33.8</v>
      </c>
      <c r="H20" s="70" t="s">
        <v>237</v>
      </c>
    </row>
    <row r="21" customFormat="false" ht="15.75" hidden="false" customHeight="true" outlineLevel="0" collapsed="false">
      <c r="B21" s="63" t="s">
        <v>238</v>
      </c>
      <c r="C21" s="97" t="s">
        <v>239</v>
      </c>
      <c r="D21" s="98" t="n">
        <v>0.0055</v>
      </c>
      <c r="E21" s="68" t="n">
        <f aca="false">ROUND(D21*Assumptions!$B$17,1)</f>
        <v>10.1</v>
      </c>
      <c r="H21" s="70" t="s">
        <v>240</v>
      </c>
    </row>
    <row r="22" customFormat="false" ht="15" hidden="false" customHeight="false" outlineLevel="0" collapsed="false">
      <c r="B22" s="71" t="s">
        <v>241</v>
      </c>
      <c r="C22" s="73"/>
      <c r="D22" s="73"/>
      <c r="E22" s="74" t="n">
        <f aca="false">SUM(E18:E21)</f>
        <v>93.9</v>
      </c>
    </row>
    <row r="24" customFormat="false" ht="16.5" hidden="false" customHeight="true" outlineLevel="0" collapsed="false">
      <c r="A24" s="10" t="s">
        <v>242</v>
      </c>
      <c r="B24" s="10"/>
      <c r="C24" s="10"/>
      <c r="D24" s="10"/>
      <c r="E24" s="10"/>
      <c r="F24" s="10"/>
      <c r="G24" s="10"/>
      <c r="H24" s="10"/>
    </row>
    <row r="25" customFormat="false" ht="15.75" hidden="false" customHeight="true" outlineLevel="0" collapsed="false">
      <c r="B25" s="63" t="s">
        <v>243</v>
      </c>
      <c r="C25" s="69" t="n">
        <f aca="false">Assumptions!$B$17-Assumptions!$B$27</f>
        <v>1644</v>
      </c>
      <c r="H25" s="70" t="s">
        <v>244</v>
      </c>
    </row>
    <row r="26" customFormat="false" ht="15.75" hidden="false" customHeight="true" outlineLevel="0" collapsed="false">
      <c r="B26" s="63" t="s">
        <v>245</v>
      </c>
      <c r="C26" s="100" t="n">
        <v>9</v>
      </c>
      <c r="H26" s="70" t="s">
        <v>246</v>
      </c>
    </row>
    <row r="27" customFormat="false" ht="24.75" hidden="false" customHeight="true" outlineLevel="0" collapsed="false">
      <c r="B27" s="63" t="s">
        <v>247</v>
      </c>
      <c r="C27" s="69" t="n">
        <f aca="false">C25/C26</f>
        <v>182.666666666667</v>
      </c>
      <c r="H27" s="70" t="s">
        <v>248</v>
      </c>
    </row>
    <row r="28" customFormat="false" ht="24.75" hidden="false" customHeight="true" outlineLevel="0" collapsed="false">
      <c r="B28" s="63" t="s">
        <v>249</v>
      </c>
      <c r="C28" s="69" t="n">
        <f aca="false">Assumptions!$B$17-C26*C27</f>
        <v>186</v>
      </c>
      <c r="H28" s="70" t="s">
        <v>250</v>
      </c>
    </row>
  </sheetData>
  <mergeCells count="5">
    <mergeCell ref="A1:H1"/>
    <mergeCell ref="A2:H2"/>
    <mergeCell ref="A4:H4"/>
    <mergeCell ref="A16:H16"/>
    <mergeCell ref="A24:H24"/>
  </mergeCells>
  <printOptions headings="false" gridLines="false" gridLinesSet="true" horizontalCentered="false" verticalCentered="false"/>
  <pageMargins left="0.3" right="0.3" top="1" bottom="1" header="0.5" footer="0.5"/>
  <pageSetup paperSize="9" scale="100" fitToWidth="1" fitToHeight="0" pageOrder="downThenOver" orientation="landscape" blackAndWhite="false" draft="false" cellComments="none" horizontalDpi="300" verticalDpi="300" copies="1"/>
  <headerFooter differentFirst="false" differentOddEven="false">
    <oddHeader>&amp;L&amp;"Arial,Bold"&amp;9Halcyon Metalworks Kft.&amp;R&amp;"Arial,Regular"&amp;9CAPITAL INVESTMENT APPRAISAL</oddHeader>
    <oddFooter>&amp;L&amp;"Arial,Regular"&amp;8Illustrative sample, fictional data - prepared by Tarlan Charkasov, ACCA&amp;R&amp;"Arial,Regular"&amp;8Page &amp;P of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1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7" min="3" style="0" width="11"/>
    <col collapsed="false" customWidth="true" hidden="false" outlineLevel="0" max="8" min="8" style="0" width="13"/>
    <col collapsed="false" customWidth="true" hidden="false" outlineLevel="0" max="10" min="9" style="0" width="12"/>
    <col collapsed="false" customWidth="true" hidden="false" outlineLevel="0" max="11" min="11" style="0" width="56"/>
  </cols>
  <sheetData>
    <row r="1" customFormat="false" ht="24" hidden="false" customHeight="true" outlineLevel="0" collapsed="false">
      <c r="A1" s="32" t="s">
        <v>251</v>
      </c>
      <c r="B1" s="32"/>
      <c r="C1" s="32"/>
      <c r="D1" s="32"/>
      <c r="E1" s="32"/>
      <c r="F1" s="32"/>
      <c r="G1" s="32"/>
      <c r="H1" s="32"/>
      <c r="I1" s="32"/>
      <c r="J1" s="32"/>
      <c r="K1" s="32"/>
    </row>
    <row r="2" customFormat="false" ht="30.75" hidden="false" customHeight="true" outlineLevel="0" collapsed="false">
      <c r="A2" s="33" t="s">
        <v>252</v>
      </c>
      <c r="B2" s="33"/>
      <c r="C2" s="33"/>
      <c r="D2" s="33"/>
      <c r="E2" s="33"/>
      <c r="F2" s="33"/>
      <c r="G2" s="33"/>
      <c r="H2" s="33"/>
      <c r="I2" s="33"/>
      <c r="J2" s="33"/>
      <c r="K2" s="33"/>
    </row>
    <row r="4" customFormat="false" ht="16.5" hidden="false" customHeight="true" outlineLevel="0" collapsed="false">
      <c r="A4" s="10" t="s">
        <v>253</v>
      </c>
      <c r="B4" s="10"/>
      <c r="C4" s="10"/>
      <c r="D4" s="10"/>
      <c r="E4" s="10"/>
      <c r="F4" s="10"/>
      <c r="G4" s="10"/>
      <c r="H4" s="10"/>
      <c r="I4" s="10"/>
      <c r="J4" s="10"/>
      <c r="K4" s="10"/>
    </row>
    <row r="5" customFormat="false" ht="33.75" hidden="false" customHeight="true" outlineLevel="0" collapsed="false">
      <c r="B5" s="12" t="s">
        <v>254</v>
      </c>
      <c r="C5" s="12" t="s">
        <v>255</v>
      </c>
      <c r="D5" s="12" t="s">
        <v>256</v>
      </c>
      <c r="E5" s="12" t="s">
        <v>257</v>
      </c>
      <c r="F5" s="12" t="s">
        <v>258</v>
      </c>
      <c r="G5" s="12" t="s">
        <v>259</v>
      </c>
      <c r="H5" s="12" t="s">
        <v>260</v>
      </c>
      <c r="I5" s="12" t="s">
        <v>261</v>
      </c>
      <c r="J5" s="12" t="s">
        <v>262</v>
      </c>
      <c r="K5" s="12" t="s">
        <v>263</v>
      </c>
    </row>
    <row r="6" customFormat="false" ht="15.75" hidden="false" customHeight="true" outlineLevel="0" collapsed="false">
      <c r="B6" s="25" t="s">
        <v>264</v>
      </c>
      <c r="C6" s="85" t="n">
        <v>1</v>
      </c>
      <c r="D6" s="85" t="n">
        <v>1</v>
      </c>
      <c r="E6" s="85" t="n">
        <v>1</v>
      </c>
      <c r="F6" s="85" t="n">
        <v>1</v>
      </c>
      <c r="G6" s="101" t="n">
        <f aca="false">WACC!$B$22</f>
        <v>0.107</v>
      </c>
      <c r="H6" s="102" t="n">
        <v>0</v>
      </c>
      <c r="I6" s="103" t="n">
        <f aca="false">SUM($C$30:$L$30)</f>
        <v>-70.3859797897492</v>
      </c>
      <c r="J6" s="104" t="n">
        <f aca="false">IFERROR(IRR($C$28:$L$28),"n/a")</f>
        <v>0.097878594996672</v>
      </c>
      <c r="K6" s="70" t="s">
        <v>265</v>
      </c>
    </row>
    <row r="7" customFormat="false" ht="24.75" hidden="false" customHeight="true" outlineLevel="0" collapsed="false">
      <c r="B7" s="105" t="s">
        <v>266</v>
      </c>
      <c r="C7" s="85" t="n">
        <v>0</v>
      </c>
      <c r="D7" s="85" t="n">
        <v>1</v>
      </c>
      <c r="E7" s="85" t="n">
        <v>1</v>
      </c>
      <c r="F7" s="85" t="n">
        <v>1</v>
      </c>
      <c r="G7" s="101" t="n">
        <f aca="false">WACC!$B$22</f>
        <v>0.107</v>
      </c>
      <c r="H7" s="102" t="n">
        <v>0</v>
      </c>
      <c r="I7" s="103" t="n">
        <f aca="false">SUM($C$40:$L$40)</f>
        <v>-1545.7886661414</v>
      </c>
      <c r="J7" s="104" t="str">
        <f aca="false">IFERROR(IRR($C$38:$L$38),"n/a")</f>
        <v>n/a</v>
      </c>
      <c r="K7" s="70" t="s">
        <v>267</v>
      </c>
    </row>
    <row r="8" customFormat="false" ht="15.75" hidden="false" customHeight="true" outlineLevel="0" collapsed="false">
      <c r="B8" s="105" t="s">
        <v>268</v>
      </c>
      <c r="C8" s="85" t="n">
        <v>1</v>
      </c>
      <c r="D8" s="85" t="n">
        <v>1</v>
      </c>
      <c r="E8" s="85" t="n">
        <v>1</v>
      </c>
      <c r="F8" s="85" t="n">
        <v>1</v>
      </c>
      <c r="G8" s="101" t="n">
        <f aca="false">WACC!$B$22</f>
        <v>0.107</v>
      </c>
      <c r="H8" s="102" t="n">
        <v>1</v>
      </c>
      <c r="I8" s="103" t="n">
        <f aca="false">SUM($C$50:$L$50)</f>
        <v>-363.788581776424</v>
      </c>
      <c r="J8" s="104" t="n">
        <f aca="false">IFERROR(IRR($C$48:$L$48),"n/a")</f>
        <v>0.0632053116626501</v>
      </c>
      <c r="K8" s="70" t="s">
        <v>269</v>
      </c>
    </row>
    <row r="9" customFormat="false" ht="15.75" hidden="false" customHeight="true" outlineLevel="0" collapsed="false">
      <c r="B9" s="105" t="s">
        <v>270</v>
      </c>
      <c r="C9" s="85" t="n">
        <v>0.85</v>
      </c>
      <c r="D9" s="85" t="n">
        <v>1</v>
      </c>
      <c r="E9" s="85" t="n">
        <v>1</v>
      </c>
      <c r="F9" s="85" t="n">
        <v>1</v>
      </c>
      <c r="G9" s="101" t="n">
        <f aca="false">WACC!$B$22</f>
        <v>0.107</v>
      </c>
      <c r="H9" s="102" t="n">
        <v>0</v>
      </c>
      <c r="I9" s="103" t="n">
        <f aca="false">SUM($C$60:$L$60)</f>
        <v>-291.696382742497</v>
      </c>
      <c r="J9" s="104" t="n">
        <f aca="false">IFERROR(IRR($C$58:$L$58),"n/a")</f>
        <v>0.0681797760937197</v>
      </c>
      <c r="K9" s="70" t="s">
        <v>271</v>
      </c>
    </row>
    <row r="10" customFormat="false" ht="15.75" hidden="false" customHeight="true" outlineLevel="0" collapsed="false">
      <c r="B10" s="105" t="s">
        <v>272</v>
      </c>
      <c r="C10" s="85" t="n">
        <v>1</v>
      </c>
      <c r="D10" s="85" t="n">
        <v>0.9</v>
      </c>
      <c r="E10" s="85" t="n">
        <v>1</v>
      </c>
      <c r="F10" s="85" t="n">
        <v>1</v>
      </c>
      <c r="G10" s="101" t="n">
        <f aca="false">WACC!$B$22</f>
        <v>0.107</v>
      </c>
      <c r="H10" s="102" t="n">
        <v>0</v>
      </c>
      <c r="I10" s="103" t="n">
        <f aca="false">SUM($C$70:$L$70)</f>
        <v>-217.926248424914</v>
      </c>
      <c r="J10" s="104" t="n">
        <f aca="false">IFERROR(IRR($C$68:$L$68),"n/a")</f>
        <v>0.0782624249205172</v>
      </c>
      <c r="K10" s="70" t="s">
        <v>273</v>
      </c>
    </row>
    <row r="11" customFormat="false" ht="24.75" hidden="false" customHeight="true" outlineLevel="0" collapsed="false">
      <c r="B11" s="105" t="s">
        <v>274</v>
      </c>
      <c r="C11" s="85" t="n">
        <v>1</v>
      </c>
      <c r="D11" s="85" t="n">
        <v>1</v>
      </c>
      <c r="E11" s="85" t="n">
        <v>0.75</v>
      </c>
      <c r="F11" s="85" t="n">
        <v>1</v>
      </c>
      <c r="G11" s="101" t="n">
        <f aca="false">WACC!$B$22</f>
        <v>0.107</v>
      </c>
      <c r="H11" s="102" t="n">
        <v>0</v>
      </c>
      <c r="I11" s="103" t="n">
        <f aca="false">SUM($C$80:$L$80)</f>
        <v>-175.294594716022</v>
      </c>
      <c r="J11" s="104" t="n">
        <f aca="false">IFERROR(IRR($C$78:$L$78),"n/a")</f>
        <v>0.0840031072899657</v>
      </c>
      <c r="K11" s="70" t="s">
        <v>275</v>
      </c>
    </row>
    <row r="12" customFormat="false" ht="15.75" hidden="false" customHeight="true" outlineLevel="0" collapsed="false">
      <c r="B12" s="105" t="s">
        <v>276</v>
      </c>
      <c r="C12" s="85" t="n">
        <v>1</v>
      </c>
      <c r="D12" s="85" t="n">
        <v>1</v>
      </c>
      <c r="E12" s="85" t="n">
        <v>1</v>
      </c>
      <c r="F12" s="85" t="n">
        <v>1.1</v>
      </c>
      <c r="G12" s="101" t="n">
        <f aca="false">WACC!$B$22</f>
        <v>0.107</v>
      </c>
      <c r="H12" s="102" t="n">
        <v>0</v>
      </c>
      <c r="I12" s="103" t="n">
        <f aca="false">SUM($C$90:$L$90)</f>
        <v>-227.793213221447</v>
      </c>
      <c r="J12" s="104" t="n">
        <f aca="false">IFERROR(IRR($C$88:$L$88),"n/a")</f>
        <v>0.0796102119372466</v>
      </c>
      <c r="K12" s="70" t="s">
        <v>277</v>
      </c>
    </row>
    <row r="13" customFormat="false" ht="15.75" hidden="false" customHeight="true" outlineLevel="0" collapsed="false">
      <c r="B13" s="105" t="s">
        <v>278</v>
      </c>
      <c r="C13" s="85" t="n">
        <v>1</v>
      </c>
      <c r="D13" s="85" t="n">
        <v>1</v>
      </c>
      <c r="E13" s="85" t="n">
        <v>1</v>
      </c>
      <c r="F13" s="85" t="n">
        <v>0.95</v>
      </c>
      <c r="G13" s="101" t="n">
        <f aca="false">WACC!$B$22</f>
        <v>0.107</v>
      </c>
      <c r="H13" s="102" t="n">
        <v>0</v>
      </c>
      <c r="I13" s="103" t="n">
        <f aca="false">SUM($C$100:$L$100)</f>
        <v>8.31763692609994</v>
      </c>
      <c r="J13" s="104" t="n">
        <f aca="false">IFERROR(IRR($C$98:$L$98),"n/a")</f>
        <v>0.108122009293076</v>
      </c>
      <c r="K13" s="70" t="s">
        <v>279</v>
      </c>
    </row>
    <row r="14" customFormat="false" ht="15.75" hidden="false" customHeight="true" outlineLevel="0" collapsed="false">
      <c r="B14" s="105" t="s">
        <v>280</v>
      </c>
      <c r="C14" s="85" t="n">
        <v>1</v>
      </c>
      <c r="D14" s="85" t="n">
        <v>1</v>
      </c>
      <c r="E14" s="85" t="n">
        <v>1</v>
      </c>
      <c r="F14" s="85" t="n">
        <v>1</v>
      </c>
      <c r="G14" s="101" t="n">
        <f aca="false">WACC!$B$23</f>
        <v>0.12</v>
      </c>
      <c r="H14" s="102" t="n">
        <v>0</v>
      </c>
      <c r="I14" s="103" t="n">
        <f aca="false">SUM($C$110:$L$110)</f>
        <v>-162.662345018333</v>
      </c>
      <c r="J14" s="104" t="n">
        <f aca="false">IFERROR(IRR($C$108:$L$108),"n/a")</f>
        <v>0.097878594996672</v>
      </c>
      <c r="K14" s="70" t="s">
        <v>281</v>
      </c>
    </row>
    <row r="15" customFormat="false" ht="24.75" hidden="false" customHeight="true" outlineLevel="0" collapsed="false">
      <c r="B15" s="105" t="s">
        <v>282</v>
      </c>
      <c r="C15" s="85" t="n">
        <v>1</v>
      </c>
      <c r="D15" s="85" t="n">
        <v>1</v>
      </c>
      <c r="E15" s="85" t="n">
        <v>1</v>
      </c>
      <c r="F15" s="85" t="n">
        <v>1</v>
      </c>
      <c r="G15" s="101" t="n">
        <f aca="false">WACC!$B$22</f>
        <v>0.107</v>
      </c>
      <c r="H15" s="102" t="n">
        <v>0.058</v>
      </c>
      <c r="I15" s="103" t="n">
        <f aca="false">SUM($C$120:$L$120)</f>
        <v>-88.267524605275</v>
      </c>
      <c r="J15" s="104" t="n">
        <f aca="false">IFERROR(IRR($C$118:$L$118),"n/a")</f>
        <v>0.0956247314858073</v>
      </c>
      <c r="K15" s="70" t="s">
        <v>283</v>
      </c>
    </row>
    <row r="16" customFormat="false" ht="24.75" hidden="false" customHeight="true" outlineLevel="0" collapsed="false">
      <c r="B16" s="25" t="s">
        <v>284</v>
      </c>
      <c r="C16" s="85" t="n">
        <v>1</v>
      </c>
      <c r="D16" s="85" t="n">
        <v>1</v>
      </c>
      <c r="E16" s="85" t="n">
        <v>1</v>
      </c>
      <c r="F16" s="85" t="n">
        <v>0.95</v>
      </c>
      <c r="G16" s="101" t="n">
        <f aca="false">WACC!$B$22</f>
        <v>0.107</v>
      </c>
      <c r="H16" s="102" t="n">
        <v>0</v>
      </c>
      <c r="I16" s="103" t="n">
        <f aca="false">SUM($C$130:$L$130)</f>
        <v>8.31763692609994</v>
      </c>
      <c r="J16" s="104" t="n">
        <f aca="false">IFERROR(IRR($C$128:$L$128),"n/a")</f>
        <v>0.108122009293076</v>
      </c>
      <c r="K16" s="70" t="s">
        <v>285</v>
      </c>
    </row>
    <row r="17" customFormat="false" ht="15.75" hidden="false" customHeight="true" outlineLevel="0" collapsed="false">
      <c r="B17" s="105" t="s">
        <v>286</v>
      </c>
      <c r="C17" s="85" t="n">
        <v>0.85</v>
      </c>
      <c r="D17" s="85" t="n">
        <v>0.9</v>
      </c>
      <c r="E17" s="85" t="n">
        <v>0.75</v>
      </c>
      <c r="F17" s="85" t="n">
        <v>1.1</v>
      </c>
      <c r="G17" s="101" t="n">
        <f aca="false">WACC!$B$22</f>
        <v>0.107</v>
      </c>
      <c r="H17" s="102" t="n">
        <v>1</v>
      </c>
      <c r="I17" s="103" t="n">
        <f aca="false">SUM($C$140:$L$140)</f>
        <v>-897.44204775594</v>
      </c>
      <c r="J17" s="104" t="n">
        <f aca="false">IFERROR(IRR($C$138:$L$138),"n/a")</f>
        <v>-0.00124818271391505</v>
      </c>
      <c r="K17" s="70" t="s">
        <v>287</v>
      </c>
    </row>
    <row r="19" customFormat="false" ht="16.5" hidden="false" customHeight="true" outlineLevel="0" collapsed="false">
      <c r="A19" s="10" t="s">
        <v>288</v>
      </c>
      <c r="B19" s="10"/>
      <c r="C19" s="10"/>
      <c r="D19" s="10"/>
      <c r="E19" s="10"/>
      <c r="F19" s="10"/>
      <c r="G19" s="10"/>
      <c r="H19" s="10"/>
      <c r="I19" s="10"/>
      <c r="J19" s="10"/>
      <c r="K19" s="10"/>
    </row>
    <row r="20" customFormat="false" ht="25.5" hidden="false" customHeight="true" outlineLevel="0" collapsed="false">
      <c r="B20" s="106" t="s">
        <v>289</v>
      </c>
      <c r="C20" s="106"/>
      <c r="D20" s="106"/>
      <c r="E20" s="106"/>
      <c r="F20" s="106"/>
      <c r="G20" s="106"/>
      <c r="H20" s="106"/>
      <c r="I20" s="106"/>
      <c r="J20" s="106"/>
      <c r="K20" s="106"/>
    </row>
    <row r="22" customFormat="false" ht="13.5" hidden="false" customHeight="true" outlineLevel="0" collapsed="false">
      <c r="A22" s="107" t="s">
        <v>290</v>
      </c>
      <c r="B22" s="107"/>
      <c r="C22" s="107"/>
      <c r="D22" s="107"/>
      <c r="E22" s="107"/>
      <c r="F22" s="107"/>
      <c r="G22" s="107"/>
      <c r="H22" s="107"/>
      <c r="I22" s="107"/>
      <c r="J22" s="107"/>
      <c r="K22" s="107"/>
    </row>
    <row r="23" customFormat="false" ht="15" hidden="false" customHeight="false" outlineLevel="0" collapsed="false">
      <c r="B23" s="108" t="s">
        <v>201</v>
      </c>
      <c r="C23" s="109" t="s">
        <v>84</v>
      </c>
      <c r="D23" s="109" t="s">
        <v>85</v>
      </c>
      <c r="E23" s="109" t="s">
        <v>86</v>
      </c>
      <c r="F23" s="109" t="s">
        <v>87</v>
      </c>
      <c r="G23" s="109" t="s">
        <v>88</v>
      </c>
      <c r="H23" s="109" t="s">
        <v>89</v>
      </c>
      <c r="I23" s="109" t="s">
        <v>90</v>
      </c>
      <c r="J23" s="109" t="s">
        <v>91</v>
      </c>
      <c r="K23" s="109" t="s">
        <v>92</v>
      </c>
      <c r="L23" s="109" t="s">
        <v>93</v>
      </c>
    </row>
    <row r="24" customFormat="false" ht="11.25" hidden="false" customHeight="true" outlineLevel="0" collapsed="false">
      <c r="B24" s="110" t="s">
        <v>291</v>
      </c>
      <c r="C24" s="111" t="n">
        <f aca="false">MAX(0,MIN(1,(2026-Assumptions!$B$6-$H$6)-1+Assumptions!$B$22))*'Benefits Build'!$E$18*$C$6*$D$6</f>
        <v>0</v>
      </c>
      <c r="D24" s="111" t="n">
        <f aca="false">MAX(0,MIN(1,(2027-Assumptions!$B$6-$H$6)-1+Assumptions!$B$22))*'Benefits Build'!$E$18*$C$6*$D$6</f>
        <v>165.6</v>
      </c>
      <c r="E24" s="111" t="n">
        <f aca="false">MAX(0,MIN(1,(2028-Assumptions!$B$6-$H$6)-1+Assumptions!$B$22))*'Benefits Build'!$E$18*$C$6*$D$6</f>
        <v>331.2</v>
      </c>
      <c r="F24" s="111" t="n">
        <f aca="false">MAX(0,MIN(1,(2029-Assumptions!$B$6-$H$6)-1+Assumptions!$B$22))*'Benefits Build'!$E$18*$C$6*$D$6</f>
        <v>331.2</v>
      </c>
      <c r="G24" s="111" t="n">
        <f aca="false">MAX(0,MIN(1,(2030-Assumptions!$B$6-$H$6)-1+Assumptions!$B$22))*'Benefits Build'!$E$18*$C$6*$D$6</f>
        <v>331.2</v>
      </c>
      <c r="H24" s="111" t="n">
        <f aca="false">MAX(0,MIN(1,(2031-Assumptions!$B$6-$H$6)-1+Assumptions!$B$22))*'Benefits Build'!$E$18*$C$6*$D$6</f>
        <v>331.2</v>
      </c>
      <c r="I24" s="111" t="n">
        <f aca="false">MAX(0,MIN(1,(2032-Assumptions!$B$6-$H$6)-1+Assumptions!$B$22))*'Benefits Build'!$E$18*$C$6*$D$6</f>
        <v>331.2</v>
      </c>
      <c r="J24" s="111" t="n">
        <f aca="false">MAX(0,MIN(1,(2033-Assumptions!$B$6-$H$6)-1+Assumptions!$B$22))*'Benefits Build'!$E$18*$C$6*$D$6</f>
        <v>331.2</v>
      </c>
      <c r="K24" s="111" t="n">
        <f aca="false">MAX(0,MIN(1,(2034-Assumptions!$B$6-$H$6)-1+Assumptions!$B$22))*'Benefits Build'!$E$18*$C$6*$D$6</f>
        <v>331.2</v>
      </c>
      <c r="L24" s="111" t="n">
        <f aca="false">MAX(0,MIN(1,(2035-Assumptions!$B$6-$H$6)-1+Assumptions!$B$22))*'Benefits Build'!$E$18*$C$6*$D$6</f>
        <v>331.2</v>
      </c>
    </row>
    <row r="25" customFormat="false" ht="11.25" hidden="false" customHeight="true" outlineLevel="0" collapsed="false">
      <c r="B25" s="110" t="s">
        <v>292</v>
      </c>
      <c r="C25" s="111" t="n">
        <f aca="false">MAX(0,MIN(1,(2026-Assumptions!$B$6-$H$6)-1+Assumptions!$B$22))*('Benefits Build'!$I$10*$E$6+'Benefits Build'!$E$27-('Costs &amp; Capex'!$E$22-'Costs &amp; Capex'!$E$18))-IF(2026&gt;=2028,'Costs &amp; Capex'!$E$18,0)</f>
        <v>0</v>
      </c>
      <c r="D25" s="111" t="n">
        <f aca="false">MAX(0,MIN(1,(2027-Assumptions!$B$6-$H$6)-1+Assumptions!$B$22))*('Benefits Build'!$I$10*$E$6+'Benefits Build'!$E$27-('Costs &amp; Capex'!$E$22-'Costs &amp; Capex'!$E$18))-IF(2027&gt;=2028,'Costs &amp; Capex'!$E$18,0)</f>
        <v>31.7</v>
      </c>
      <c r="E25" s="111" t="n">
        <f aca="false">MAX(0,MIN(1,(2028-Assumptions!$B$6-$H$6)-1+Assumptions!$B$22))*('Benefits Build'!$I$10*$E$6+'Benefits Build'!$E$27-('Costs &amp; Capex'!$E$22-'Costs &amp; Capex'!$E$18))-IF(2028&gt;=2028,'Costs &amp; Capex'!$E$18,0)</f>
        <v>25.4</v>
      </c>
      <c r="F25" s="111" t="n">
        <f aca="false">MAX(0,MIN(1,(2029-Assumptions!$B$6-$H$6)-1+Assumptions!$B$22))*('Benefits Build'!$I$10*$E$6+'Benefits Build'!$E$27-('Costs &amp; Capex'!$E$22-'Costs &amp; Capex'!$E$18))-IF(2029&gt;=2028,'Costs &amp; Capex'!$E$18,0)</f>
        <v>25.4</v>
      </c>
      <c r="G25" s="111" t="n">
        <f aca="false">MAX(0,MIN(1,(2030-Assumptions!$B$6-$H$6)-1+Assumptions!$B$22))*('Benefits Build'!$I$10*$E$6+'Benefits Build'!$E$27-('Costs &amp; Capex'!$E$22-'Costs &amp; Capex'!$E$18))-IF(2030&gt;=2028,'Costs &amp; Capex'!$E$18,0)</f>
        <v>25.4</v>
      </c>
      <c r="H25" s="111" t="n">
        <f aca="false">MAX(0,MIN(1,(2031-Assumptions!$B$6-$H$6)-1+Assumptions!$B$22))*('Benefits Build'!$I$10*$E$6+'Benefits Build'!$E$27-('Costs &amp; Capex'!$E$22-'Costs &amp; Capex'!$E$18))-IF(2031&gt;=2028,'Costs &amp; Capex'!$E$18,0)</f>
        <v>25.4</v>
      </c>
      <c r="I25" s="111" t="n">
        <f aca="false">MAX(0,MIN(1,(2032-Assumptions!$B$6-$H$6)-1+Assumptions!$B$22))*('Benefits Build'!$I$10*$E$6+'Benefits Build'!$E$27-('Costs &amp; Capex'!$E$22-'Costs &amp; Capex'!$E$18))-IF(2032&gt;=2028,'Costs &amp; Capex'!$E$18,0)</f>
        <v>25.4</v>
      </c>
      <c r="J25" s="111" t="n">
        <f aca="false">MAX(0,MIN(1,(2033-Assumptions!$B$6-$H$6)-1+Assumptions!$B$22))*('Benefits Build'!$I$10*$E$6+'Benefits Build'!$E$27-('Costs &amp; Capex'!$E$22-'Costs &amp; Capex'!$E$18))-IF(2033&gt;=2028,'Costs &amp; Capex'!$E$18,0)</f>
        <v>25.4</v>
      </c>
      <c r="K25" s="111" t="n">
        <f aca="false">MAX(0,MIN(1,(2034-Assumptions!$B$6-$H$6)-1+Assumptions!$B$22))*('Benefits Build'!$I$10*$E$6+'Benefits Build'!$E$27-('Costs &amp; Capex'!$E$22-'Costs &amp; Capex'!$E$18))-IF(2034&gt;=2028,'Costs &amp; Capex'!$E$18,0)</f>
        <v>25.4</v>
      </c>
      <c r="L25" s="111" t="n">
        <f aca="false">MAX(0,MIN(1,(2035-Assumptions!$B$6-$H$6)-1+Assumptions!$B$22))*('Benefits Build'!$I$10*$E$6+'Benefits Build'!$E$27-('Costs &amp; Capex'!$E$22-'Costs &amp; Capex'!$E$18))-IF(2035&gt;=2028,'Costs &amp; Capex'!$E$18,0)</f>
        <v>25.4</v>
      </c>
    </row>
    <row r="26" customFormat="false" ht="11.25" hidden="false" customHeight="true" outlineLevel="0" collapsed="false">
      <c r="B26" s="110" t="s">
        <v>293</v>
      </c>
      <c r="C26" s="111" t="n">
        <f aca="false">-((C24+C25)-IF(AND(2026&gt;=2027,2026&lt;=2027+'Costs &amp; Capex'!$C$26-1),'Costs &amp; Capex'!$C$27*$F$6,0))*Assumptions!$B$23</f>
        <v>-0</v>
      </c>
      <c r="D26" s="111" t="n">
        <f aca="false">-((D24+D25)-IF(AND(2027&gt;=2027,2027&lt;=2027+'Costs &amp; Capex'!$C$26-1),'Costs &amp; Capex'!$C$27*$F$6,0))*Assumptions!$B$23</f>
        <v>-1.317</v>
      </c>
      <c r="E26" s="111" t="n">
        <f aca="false">-((E24+E25)-IF(AND(2028&gt;=2027,2028&lt;=2027+'Costs &amp; Capex'!$C$26-1),'Costs &amp; Capex'!$C$27*$F$6,0))*Assumptions!$B$23</f>
        <v>-15.654</v>
      </c>
      <c r="F26" s="111" t="n">
        <f aca="false">-((F24+F25)-IF(AND(2029&gt;=2027,2029&lt;=2027+'Costs &amp; Capex'!$C$26-1),'Costs &amp; Capex'!$C$27*$F$6,0))*Assumptions!$B$23</f>
        <v>-15.654</v>
      </c>
      <c r="G26" s="111" t="n">
        <f aca="false">-((G24+G25)-IF(AND(2030&gt;=2027,2030&lt;=2027+'Costs &amp; Capex'!$C$26-1),'Costs &amp; Capex'!$C$27*$F$6,0))*Assumptions!$B$23</f>
        <v>-15.654</v>
      </c>
      <c r="H26" s="111" t="n">
        <f aca="false">-((H24+H25)-IF(AND(2031&gt;=2027,2031&lt;=2027+'Costs &amp; Capex'!$C$26-1),'Costs &amp; Capex'!$C$27*$F$6,0))*Assumptions!$B$23</f>
        <v>-15.654</v>
      </c>
      <c r="I26" s="111" t="n">
        <f aca="false">-((I24+I25)-IF(AND(2032&gt;=2027,2032&lt;=2027+'Costs &amp; Capex'!$C$26-1),'Costs &amp; Capex'!$C$27*$F$6,0))*Assumptions!$B$23</f>
        <v>-15.654</v>
      </c>
      <c r="J26" s="111" t="n">
        <f aca="false">-((J24+J25)-IF(AND(2033&gt;=2027,2033&lt;=2027+'Costs &amp; Capex'!$C$26-1),'Costs &amp; Capex'!$C$27*$F$6,0))*Assumptions!$B$23</f>
        <v>-15.654</v>
      </c>
      <c r="K26" s="111" t="n">
        <f aca="false">-((K24+K25)-IF(AND(2034&gt;=2027,2034&lt;=2027+'Costs &amp; Capex'!$C$26-1),'Costs &amp; Capex'!$C$27*$F$6,0))*Assumptions!$B$23</f>
        <v>-15.654</v>
      </c>
      <c r="L26" s="111" t="n">
        <f aca="false">-((L24+L25)-IF(AND(2035&gt;=2027,2035&lt;=2027+'Costs &amp; Capex'!$C$26-1),'Costs &amp; Capex'!$C$27*$F$6,0))*Assumptions!$B$23</f>
        <v>-15.654</v>
      </c>
    </row>
    <row r="27" customFormat="false" ht="11.25" hidden="false" customHeight="true" outlineLevel="0" collapsed="false">
      <c r="B27" s="110" t="s">
        <v>294</v>
      </c>
      <c r="C27" s="111" t="n">
        <f aca="false">-SUMIFS('Costs &amp; Capex'!$C$6:$C$12,'Costs &amp; Capex'!$E$6:$E$12,2026)*$F$6-IF(2026=Assumptions!$B$26,Assumptions!$B$25,0)+IF(2026=2035,Assumptions!$B$27*$F$6,0)-IF(2026=2027,Assumptions!$B$24,0)+IF(2026=2035,Assumptions!$B$24,0)</f>
        <v>-1755</v>
      </c>
      <c r="D27" s="111" t="n">
        <f aca="false">-SUMIFS('Costs &amp; Capex'!$C$6:$C$12,'Costs &amp; Capex'!$E$6:$E$12,2027)*$F$6-IF(2027=Assumptions!$B$26,Assumptions!$B$25,0)+IF(2027=2035,Assumptions!$B$27*$F$6,0)-IF(2027=2027,Assumptions!$B$24,0)+IF(2027=2035,Assumptions!$B$24,0)</f>
        <v>-170</v>
      </c>
      <c r="E27" s="111" t="n">
        <f aca="false">-SUMIFS('Costs &amp; Capex'!$C$6:$C$12,'Costs &amp; Capex'!$E$6:$E$12,2028)*$F$6-IF(2028=Assumptions!$B$26,Assumptions!$B$25,0)+IF(2028=2035,Assumptions!$B$27*$F$6,0)-IF(2028=2027,Assumptions!$B$24,0)+IF(2028=2035,Assumptions!$B$24,0)</f>
        <v>0</v>
      </c>
      <c r="F27" s="111" t="n">
        <f aca="false">-SUMIFS('Costs &amp; Capex'!$C$6:$C$12,'Costs &amp; Capex'!$E$6:$E$12,2029)*$F$6-IF(2029=Assumptions!$B$26,Assumptions!$B$25,0)+IF(2029=2035,Assumptions!$B$27*$F$6,0)-IF(2029=2027,Assumptions!$B$24,0)+IF(2029=2035,Assumptions!$B$24,0)</f>
        <v>0</v>
      </c>
      <c r="G27" s="111" t="n">
        <f aca="false">-SUMIFS('Costs &amp; Capex'!$C$6:$C$12,'Costs &amp; Capex'!$E$6:$E$12,2030)*$F$6-IF(2030=Assumptions!$B$26,Assumptions!$B$25,0)+IF(2030=2035,Assumptions!$B$27*$F$6,0)-IF(2030=2027,Assumptions!$B$24,0)+IF(2030=2035,Assumptions!$B$24,0)</f>
        <v>0</v>
      </c>
      <c r="H27" s="111" t="n">
        <f aca="false">-SUMIFS('Costs &amp; Capex'!$C$6:$C$12,'Costs &amp; Capex'!$E$6:$E$12,2031)*$F$6-IF(2031=Assumptions!$B$26,Assumptions!$B$25,0)+IF(2031=2035,Assumptions!$B$27*$F$6,0)-IF(2031=2027,Assumptions!$B$24,0)+IF(2031=2035,Assumptions!$B$24,0)</f>
        <v>-95</v>
      </c>
      <c r="I27" s="111" t="n">
        <f aca="false">-SUMIFS('Costs &amp; Capex'!$C$6:$C$12,'Costs &amp; Capex'!$E$6:$E$12,2032)*$F$6-IF(2032=Assumptions!$B$26,Assumptions!$B$25,0)+IF(2032=2035,Assumptions!$B$27*$F$6,0)-IF(2032=2027,Assumptions!$B$24,0)+IF(2032=2035,Assumptions!$B$24,0)</f>
        <v>0</v>
      </c>
      <c r="J27" s="111" t="n">
        <f aca="false">-SUMIFS('Costs &amp; Capex'!$C$6:$C$12,'Costs &amp; Capex'!$E$6:$E$12,2033)*$F$6-IF(2033=Assumptions!$B$26,Assumptions!$B$25,0)+IF(2033=2035,Assumptions!$B$27*$F$6,0)-IF(2033=2027,Assumptions!$B$24,0)+IF(2033=2035,Assumptions!$B$24,0)</f>
        <v>0</v>
      </c>
      <c r="K27" s="111" t="n">
        <f aca="false">-SUMIFS('Costs &amp; Capex'!$C$6:$C$12,'Costs &amp; Capex'!$E$6:$E$12,2034)*$F$6-IF(2034=Assumptions!$B$26,Assumptions!$B$25,0)+IF(2034=2035,Assumptions!$B$27*$F$6,0)-IF(2034=2027,Assumptions!$B$24,0)+IF(2034=2035,Assumptions!$B$24,0)</f>
        <v>0</v>
      </c>
      <c r="L27" s="111" t="n">
        <f aca="false">-SUMIFS('Costs &amp; Capex'!$C$6:$C$12,'Costs &amp; Capex'!$E$6:$E$12,2035)*$F$6-IF(2035=Assumptions!$B$26,Assumptions!$B$25,0)+IF(2035=2035,Assumptions!$B$27*$F$6,0)-IF(2035=2027,Assumptions!$B$24,0)+IF(2035=2035,Assumptions!$B$24,0)</f>
        <v>281</v>
      </c>
    </row>
    <row r="28" customFormat="false" ht="11.25" hidden="false" customHeight="true" outlineLevel="0" collapsed="false">
      <c r="B28" s="110" t="s">
        <v>112</v>
      </c>
      <c r="C28" s="111" t="n">
        <f aca="false">SUM(C24:C27)</f>
        <v>-1755</v>
      </c>
      <c r="D28" s="111" t="n">
        <f aca="false">SUM(D24:D27)</f>
        <v>25.983</v>
      </c>
      <c r="E28" s="111" t="n">
        <f aca="false">SUM(E24:E27)</f>
        <v>340.946</v>
      </c>
      <c r="F28" s="111" t="n">
        <f aca="false">SUM(F24:F27)</f>
        <v>340.946</v>
      </c>
      <c r="G28" s="111" t="n">
        <f aca="false">SUM(G24:G27)</f>
        <v>340.946</v>
      </c>
      <c r="H28" s="111" t="n">
        <f aca="false">SUM(H24:H27)</f>
        <v>245.946</v>
      </c>
      <c r="I28" s="111" t="n">
        <f aca="false">SUM(I24:I27)</f>
        <v>340.946</v>
      </c>
      <c r="J28" s="111" t="n">
        <f aca="false">SUM(J24:J27)</f>
        <v>340.946</v>
      </c>
      <c r="K28" s="111" t="n">
        <f aca="false">SUM(K24:K27)</f>
        <v>340.946</v>
      </c>
      <c r="L28" s="111" t="n">
        <f aca="false">SUM(L24:L27)</f>
        <v>621.946</v>
      </c>
    </row>
    <row r="29" customFormat="false" ht="11.25" hidden="false" customHeight="true" outlineLevel="0" collapsed="false">
      <c r="B29" s="110" t="s">
        <v>114</v>
      </c>
      <c r="C29" s="112" t="n">
        <f aca="false">1/(1+$G$6)^Appraisal!B$6</f>
        <v>0.950443247520335</v>
      </c>
      <c r="D29" s="112" t="n">
        <f aca="false">1/(1+$G$6)^Appraisal!C$6</f>
        <v>0.85857565268323</v>
      </c>
      <c r="E29" s="112" t="n">
        <f aca="false">1/(1+$G$6)^Appraisal!D$6</f>
        <v>0.775587762134805</v>
      </c>
      <c r="F29" s="112" t="n">
        <f aca="false">1/(1+$G$6)^Appraisal!E$6</f>
        <v>0.700621284674621</v>
      </c>
      <c r="G29" s="112" t="n">
        <f aca="false">1/(1+$G$6)^Appraisal!F$6</f>
        <v>0.632900889498303</v>
      </c>
      <c r="H29" s="112" t="n">
        <f aca="false">1/(1+$G$6)^Appraisal!G$6</f>
        <v>0.571726187442008</v>
      </c>
      <c r="I29" s="112" t="n">
        <f aca="false">1/(1+$G$6)^Appraisal!H$6</f>
        <v>0.51646448730082</v>
      </c>
      <c r="J29" s="112" t="n">
        <f aca="false">1/(1+$G$6)^Appraisal!I$6</f>
        <v>0.466544252304264</v>
      </c>
      <c r="K29" s="112" t="n">
        <f aca="false">1/(1+$G$6)^Appraisal!J$6</f>
        <v>0.421449189073409</v>
      </c>
      <c r="L29" s="112" t="n">
        <f aca="false">1/(1+$G$6)^Appraisal!K$6</f>
        <v>0.380712907925392</v>
      </c>
    </row>
    <row r="30" customFormat="false" ht="11.25" hidden="false" customHeight="true" outlineLevel="0" collapsed="false">
      <c r="B30" s="113" t="s">
        <v>115</v>
      </c>
      <c r="C30" s="114" t="n">
        <f aca="false">C28*C29</f>
        <v>-1668.02789939819</v>
      </c>
      <c r="D30" s="114" t="n">
        <f aca="false">D28*D29</f>
        <v>22.3083711836684</v>
      </c>
      <c r="E30" s="114" t="n">
        <f aca="false">E28*E29</f>
        <v>264.433545148813</v>
      </c>
      <c r="F30" s="114" t="n">
        <f aca="false">F28*F29</f>
        <v>238.874024524673</v>
      </c>
      <c r="G30" s="114" t="n">
        <f aca="false">G28*G29</f>
        <v>215.785026670888</v>
      </c>
      <c r="H30" s="114" t="n">
        <f aca="false">H28*H29</f>
        <v>140.613768896612</v>
      </c>
      <c r="I30" s="114" t="n">
        <f aca="false">I28*I29</f>
        <v>176.086501087265</v>
      </c>
      <c r="J30" s="114" t="n">
        <f aca="false">J28*J29</f>
        <v>159.06639664613</v>
      </c>
      <c r="K30" s="114" t="n">
        <f aca="false">K28*K29</f>
        <v>143.691415217823</v>
      </c>
      <c r="L30" s="114" t="n">
        <f aca="false">L28*L29</f>
        <v>236.782870232566</v>
      </c>
    </row>
    <row r="32" customFormat="false" ht="13.5" hidden="false" customHeight="true" outlineLevel="0" collapsed="false">
      <c r="A32" s="107" t="s">
        <v>295</v>
      </c>
      <c r="B32" s="107"/>
      <c r="C32" s="107"/>
      <c r="D32" s="107"/>
      <c r="E32" s="107"/>
      <c r="F32" s="107"/>
      <c r="G32" s="107"/>
      <c r="H32" s="107"/>
      <c r="I32" s="107"/>
      <c r="J32" s="107"/>
      <c r="K32" s="107"/>
    </row>
    <row r="33" customFormat="false" ht="15" hidden="false" customHeight="false" outlineLevel="0" collapsed="false">
      <c r="B33" s="108" t="s">
        <v>201</v>
      </c>
      <c r="C33" s="109" t="s">
        <v>84</v>
      </c>
      <c r="D33" s="109" t="s">
        <v>85</v>
      </c>
      <c r="E33" s="109" t="s">
        <v>86</v>
      </c>
      <c r="F33" s="109" t="s">
        <v>87</v>
      </c>
      <c r="G33" s="109" t="s">
        <v>88</v>
      </c>
      <c r="H33" s="109" t="s">
        <v>89</v>
      </c>
      <c r="I33" s="109" t="s">
        <v>90</v>
      </c>
      <c r="J33" s="109" t="s">
        <v>91</v>
      </c>
      <c r="K33" s="109" t="s">
        <v>92</v>
      </c>
      <c r="L33" s="109" t="s">
        <v>93</v>
      </c>
    </row>
    <row r="34" customFormat="false" ht="11.25" hidden="false" customHeight="true" outlineLevel="0" collapsed="false">
      <c r="B34" s="110" t="s">
        <v>291</v>
      </c>
      <c r="C34" s="111" t="n">
        <f aca="false">MAX(0,MIN(1,(2026-Assumptions!$B$6-$H$7)-1+Assumptions!$B$22))*'Benefits Build'!$E$18*$C$7*$D$7</f>
        <v>0</v>
      </c>
      <c r="D34" s="111" t="n">
        <f aca="false">MAX(0,MIN(1,(2027-Assumptions!$B$6-$H$7)-1+Assumptions!$B$22))*'Benefits Build'!$E$18*$C$7*$D$7</f>
        <v>0</v>
      </c>
      <c r="E34" s="111" t="n">
        <f aca="false">MAX(0,MIN(1,(2028-Assumptions!$B$6-$H$7)-1+Assumptions!$B$22))*'Benefits Build'!$E$18*$C$7*$D$7</f>
        <v>0</v>
      </c>
      <c r="F34" s="111" t="n">
        <f aca="false">MAX(0,MIN(1,(2029-Assumptions!$B$6-$H$7)-1+Assumptions!$B$22))*'Benefits Build'!$E$18*$C$7*$D$7</f>
        <v>0</v>
      </c>
      <c r="G34" s="111" t="n">
        <f aca="false">MAX(0,MIN(1,(2030-Assumptions!$B$6-$H$7)-1+Assumptions!$B$22))*'Benefits Build'!$E$18*$C$7*$D$7</f>
        <v>0</v>
      </c>
      <c r="H34" s="111" t="n">
        <f aca="false">MAX(0,MIN(1,(2031-Assumptions!$B$6-$H$7)-1+Assumptions!$B$22))*'Benefits Build'!$E$18*$C$7*$D$7</f>
        <v>0</v>
      </c>
      <c r="I34" s="111" t="n">
        <f aca="false">MAX(0,MIN(1,(2032-Assumptions!$B$6-$H$7)-1+Assumptions!$B$22))*'Benefits Build'!$E$18*$C$7*$D$7</f>
        <v>0</v>
      </c>
      <c r="J34" s="111" t="n">
        <f aca="false">MAX(0,MIN(1,(2033-Assumptions!$B$6-$H$7)-1+Assumptions!$B$22))*'Benefits Build'!$E$18*$C$7*$D$7</f>
        <v>0</v>
      </c>
      <c r="K34" s="111" t="n">
        <f aca="false">MAX(0,MIN(1,(2034-Assumptions!$B$6-$H$7)-1+Assumptions!$B$22))*'Benefits Build'!$E$18*$C$7*$D$7</f>
        <v>0</v>
      </c>
      <c r="L34" s="111" t="n">
        <f aca="false">MAX(0,MIN(1,(2035-Assumptions!$B$6-$H$7)-1+Assumptions!$B$22))*'Benefits Build'!$E$18*$C$7*$D$7</f>
        <v>0</v>
      </c>
    </row>
    <row r="35" customFormat="false" ht="11.25" hidden="false" customHeight="true" outlineLevel="0" collapsed="false">
      <c r="B35" s="110" t="s">
        <v>292</v>
      </c>
      <c r="C35" s="111" t="n">
        <f aca="false">MAX(0,MIN(1,(2026-Assumptions!$B$6-$H$7)-1+Assumptions!$B$22))*('Benefits Build'!$I$10*$E$7+'Benefits Build'!$E$27-('Costs &amp; Capex'!$E$22-'Costs &amp; Capex'!$E$18))-IF(2026&gt;=2028,'Costs &amp; Capex'!$E$18,0)</f>
        <v>0</v>
      </c>
      <c r="D35" s="111" t="n">
        <f aca="false">MAX(0,MIN(1,(2027-Assumptions!$B$6-$H$7)-1+Assumptions!$B$22))*('Benefits Build'!$I$10*$E$7+'Benefits Build'!$E$27-('Costs &amp; Capex'!$E$22-'Costs &amp; Capex'!$E$18))-IF(2027&gt;=2028,'Costs &amp; Capex'!$E$18,0)</f>
        <v>31.7</v>
      </c>
      <c r="E35" s="111" t="n">
        <f aca="false">MAX(0,MIN(1,(2028-Assumptions!$B$6-$H$7)-1+Assumptions!$B$22))*('Benefits Build'!$I$10*$E$7+'Benefits Build'!$E$27-('Costs &amp; Capex'!$E$22-'Costs &amp; Capex'!$E$18))-IF(2028&gt;=2028,'Costs &amp; Capex'!$E$18,0)</f>
        <v>25.4</v>
      </c>
      <c r="F35" s="111" t="n">
        <f aca="false">MAX(0,MIN(1,(2029-Assumptions!$B$6-$H$7)-1+Assumptions!$B$22))*('Benefits Build'!$I$10*$E$7+'Benefits Build'!$E$27-('Costs &amp; Capex'!$E$22-'Costs &amp; Capex'!$E$18))-IF(2029&gt;=2028,'Costs &amp; Capex'!$E$18,0)</f>
        <v>25.4</v>
      </c>
      <c r="G35" s="111" t="n">
        <f aca="false">MAX(0,MIN(1,(2030-Assumptions!$B$6-$H$7)-1+Assumptions!$B$22))*('Benefits Build'!$I$10*$E$7+'Benefits Build'!$E$27-('Costs &amp; Capex'!$E$22-'Costs &amp; Capex'!$E$18))-IF(2030&gt;=2028,'Costs &amp; Capex'!$E$18,0)</f>
        <v>25.4</v>
      </c>
      <c r="H35" s="111" t="n">
        <f aca="false">MAX(0,MIN(1,(2031-Assumptions!$B$6-$H$7)-1+Assumptions!$B$22))*('Benefits Build'!$I$10*$E$7+'Benefits Build'!$E$27-('Costs &amp; Capex'!$E$22-'Costs &amp; Capex'!$E$18))-IF(2031&gt;=2028,'Costs &amp; Capex'!$E$18,0)</f>
        <v>25.4</v>
      </c>
      <c r="I35" s="111" t="n">
        <f aca="false">MAX(0,MIN(1,(2032-Assumptions!$B$6-$H$7)-1+Assumptions!$B$22))*('Benefits Build'!$I$10*$E$7+'Benefits Build'!$E$27-('Costs &amp; Capex'!$E$22-'Costs &amp; Capex'!$E$18))-IF(2032&gt;=2028,'Costs &amp; Capex'!$E$18,0)</f>
        <v>25.4</v>
      </c>
      <c r="J35" s="111" t="n">
        <f aca="false">MAX(0,MIN(1,(2033-Assumptions!$B$6-$H$7)-1+Assumptions!$B$22))*('Benefits Build'!$I$10*$E$7+'Benefits Build'!$E$27-('Costs &amp; Capex'!$E$22-'Costs &amp; Capex'!$E$18))-IF(2033&gt;=2028,'Costs &amp; Capex'!$E$18,0)</f>
        <v>25.4</v>
      </c>
      <c r="K35" s="111" t="n">
        <f aca="false">MAX(0,MIN(1,(2034-Assumptions!$B$6-$H$7)-1+Assumptions!$B$22))*('Benefits Build'!$I$10*$E$7+'Benefits Build'!$E$27-('Costs &amp; Capex'!$E$22-'Costs &amp; Capex'!$E$18))-IF(2034&gt;=2028,'Costs &amp; Capex'!$E$18,0)</f>
        <v>25.4</v>
      </c>
      <c r="L35" s="111" t="n">
        <f aca="false">MAX(0,MIN(1,(2035-Assumptions!$B$6-$H$7)-1+Assumptions!$B$22))*('Benefits Build'!$I$10*$E$7+'Benefits Build'!$E$27-('Costs &amp; Capex'!$E$22-'Costs &amp; Capex'!$E$18))-IF(2035&gt;=2028,'Costs &amp; Capex'!$E$18,0)</f>
        <v>25.4</v>
      </c>
    </row>
    <row r="36" customFormat="false" ht="11.25" hidden="false" customHeight="true" outlineLevel="0" collapsed="false">
      <c r="B36" s="110" t="s">
        <v>293</v>
      </c>
      <c r="C36" s="111" t="n">
        <f aca="false">-((C34+C35)-IF(AND(2026&gt;=2027,2026&lt;=2027+'Costs &amp; Capex'!$C$26-1),'Costs &amp; Capex'!$C$27*$F$7,0))*Assumptions!$B$23</f>
        <v>-0</v>
      </c>
      <c r="D36" s="111" t="n">
        <f aca="false">-((D34+D35)-IF(AND(2027&gt;=2027,2027&lt;=2027+'Costs &amp; Capex'!$C$26-1),'Costs &amp; Capex'!$C$27*$F$7,0))*Assumptions!$B$23</f>
        <v>13.587</v>
      </c>
      <c r="E36" s="111" t="n">
        <f aca="false">-((E34+E35)-IF(AND(2028&gt;=2027,2028&lt;=2027+'Costs &amp; Capex'!$C$26-1),'Costs &amp; Capex'!$C$27*$F$7,0))*Assumptions!$B$23</f>
        <v>14.154</v>
      </c>
      <c r="F36" s="111" t="n">
        <f aca="false">-((F34+F35)-IF(AND(2029&gt;=2027,2029&lt;=2027+'Costs &amp; Capex'!$C$26-1),'Costs &amp; Capex'!$C$27*$F$7,0))*Assumptions!$B$23</f>
        <v>14.154</v>
      </c>
      <c r="G36" s="111" t="n">
        <f aca="false">-((G34+G35)-IF(AND(2030&gt;=2027,2030&lt;=2027+'Costs &amp; Capex'!$C$26-1),'Costs &amp; Capex'!$C$27*$F$7,0))*Assumptions!$B$23</f>
        <v>14.154</v>
      </c>
      <c r="H36" s="111" t="n">
        <f aca="false">-((H34+H35)-IF(AND(2031&gt;=2027,2031&lt;=2027+'Costs &amp; Capex'!$C$26-1),'Costs &amp; Capex'!$C$27*$F$7,0))*Assumptions!$B$23</f>
        <v>14.154</v>
      </c>
      <c r="I36" s="111" t="n">
        <f aca="false">-((I34+I35)-IF(AND(2032&gt;=2027,2032&lt;=2027+'Costs &amp; Capex'!$C$26-1),'Costs &amp; Capex'!$C$27*$F$7,0))*Assumptions!$B$23</f>
        <v>14.154</v>
      </c>
      <c r="J36" s="111" t="n">
        <f aca="false">-((J34+J35)-IF(AND(2033&gt;=2027,2033&lt;=2027+'Costs &amp; Capex'!$C$26-1),'Costs &amp; Capex'!$C$27*$F$7,0))*Assumptions!$B$23</f>
        <v>14.154</v>
      </c>
      <c r="K36" s="111" t="n">
        <f aca="false">-((K34+K35)-IF(AND(2034&gt;=2027,2034&lt;=2027+'Costs &amp; Capex'!$C$26-1),'Costs &amp; Capex'!$C$27*$F$7,0))*Assumptions!$B$23</f>
        <v>14.154</v>
      </c>
      <c r="L36" s="111" t="n">
        <f aca="false">-((L34+L35)-IF(AND(2035&gt;=2027,2035&lt;=2027+'Costs &amp; Capex'!$C$26-1),'Costs &amp; Capex'!$C$27*$F$7,0))*Assumptions!$B$23</f>
        <v>14.154</v>
      </c>
    </row>
    <row r="37" customFormat="false" ht="11.25" hidden="false" customHeight="true" outlineLevel="0" collapsed="false">
      <c r="B37" s="110" t="s">
        <v>294</v>
      </c>
      <c r="C37" s="111" t="n">
        <f aca="false">-SUMIFS('Costs &amp; Capex'!$C$6:$C$12,'Costs &amp; Capex'!$E$6:$E$12,2026)*$F$7-IF(2026=Assumptions!$B$26,Assumptions!$B$25,0)+IF(2026=2035,Assumptions!$B$27*$F$7,0)-IF(2026=2027,Assumptions!$B$24,0)+IF(2026=2035,Assumptions!$B$24,0)</f>
        <v>-1755</v>
      </c>
      <c r="D37" s="111" t="n">
        <f aca="false">-SUMIFS('Costs &amp; Capex'!$C$6:$C$12,'Costs &amp; Capex'!$E$6:$E$12,2027)*$F$7-IF(2027=Assumptions!$B$26,Assumptions!$B$25,0)+IF(2027=2035,Assumptions!$B$27*$F$7,0)-IF(2027=2027,Assumptions!$B$24,0)+IF(2027=2035,Assumptions!$B$24,0)</f>
        <v>-170</v>
      </c>
      <c r="E37" s="111" t="n">
        <f aca="false">-SUMIFS('Costs &amp; Capex'!$C$6:$C$12,'Costs &amp; Capex'!$E$6:$E$12,2028)*$F$7-IF(2028=Assumptions!$B$26,Assumptions!$B$25,0)+IF(2028=2035,Assumptions!$B$27*$F$7,0)-IF(2028=2027,Assumptions!$B$24,0)+IF(2028=2035,Assumptions!$B$24,0)</f>
        <v>0</v>
      </c>
      <c r="F37" s="111" t="n">
        <f aca="false">-SUMIFS('Costs &amp; Capex'!$C$6:$C$12,'Costs &amp; Capex'!$E$6:$E$12,2029)*$F$7-IF(2029=Assumptions!$B$26,Assumptions!$B$25,0)+IF(2029=2035,Assumptions!$B$27*$F$7,0)-IF(2029=2027,Assumptions!$B$24,0)+IF(2029=2035,Assumptions!$B$24,0)</f>
        <v>0</v>
      </c>
      <c r="G37" s="111" t="n">
        <f aca="false">-SUMIFS('Costs &amp; Capex'!$C$6:$C$12,'Costs &amp; Capex'!$E$6:$E$12,2030)*$F$7-IF(2030=Assumptions!$B$26,Assumptions!$B$25,0)+IF(2030=2035,Assumptions!$B$27*$F$7,0)-IF(2030=2027,Assumptions!$B$24,0)+IF(2030=2035,Assumptions!$B$24,0)</f>
        <v>0</v>
      </c>
      <c r="H37" s="111" t="n">
        <f aca="false">-SUMIFS('Costs &amp; Capex'!$C$6:$C$12,'Costs &amp; Capex'!$E$6:$E$12,2031)*$F$7-IF(2031=Assumptions!$B$26,Assumptions!$B$25,0)+IF(2031=2035,Assumptions!$B$27*$F$7,0)-IF(2031=2027,Assumptions!$B$24,0)+IF(2031=2035,Assumptions!$B$24,0)</f>
        <v>-95</v>
      </c>
      <c r="I37" s="111" t="n">
        <f aca="false">-SUMIFS('Costs &amp; Capex'!$C$6:$C$12,'Costs &amp; Capex'!$E$6:$E$12,2032)*$F$7-IF(2032=Assumptions!$B$26,Assumptions!$B$25,0)+IF(2032=2035,Assumptions!$B$27*$F$7,0)-IF(2032=2027,Assumptions!$B$24,0)+IF(2032=2035,Assumptions!$B$24,0)</f>
        <v>0</v>
      </c>
      <c r="J37" s="111" t="n">
        <f aca="false">-SUMIFS('Costs &amp; Capex'!$C$6:$C$12,'Costs &amp; Capex'!$E$6:$E$12,2033)*$F$7-IF(2033=Assumptions!$B$26,Assumptions!$B$25,0)+IF(2033=2035,Assumptions!$B$27*$F$7,0)-IF(2033=2027,Assumptions!$B$24,0)+IF(2033=2035,Assumptions!$B$24,0)</f>
        <v>0</v>
      </c>
      <c r="K37" s="111" t="n">
        <f aca="false">-SUMIFS('Costs &amp; Capex'!$C$6:$C$12,'Costs &amp; Capex'!$E$6:$E$12,2034)*$F$7-IF(2034=Assumptions!$B$26,Assumptions!$B$25,0)+IF(2034=2035,Assumptions!$B$27*$F$7,0)-IF(2034=2027,Assumptions!$B$24,0)+IF(2034=2035,Assumptions!$B$24,0)</f>
        <v>0</v>
      </c>
      <c r="L37" s="111" t="n">
        <f aca="false">-SUMIFS('Costs &amp; Capex'!$C$6:$C$12,'Costs &amp; Capex'!$E$6:$E$12,2035)*$F$7-IF(2035=Assumptions!$B$26,Assumptions!$B$25,0)+IF(2035=2035,Assumptions!$B$27*$F$7,0)-IF(2035=2027,Assumptions!$B$24,0)+IF(2035=2035,Assumptions!$B$24,0)</f>
        <v>281</v>
      </c>
    </row>
    <row r="38" customFormat="false" ht="11.25" hidden="false" customHeight="true" outlineLevel="0" collapsed="false">
      <c r="B38" s="110" t="s">
        <v>112</v>
      </c>
      <c r="C38" s="111" t="n">
        <f aca="false">SUM(C34:C37)</f>
        <v>-1755</v>
      </c>
      <c r="D38" s="111" t="n">
        <f aca="false">SUM(D34:D37)</f>
        <v>-124.713</v>
      </c>
      <c r="E38" s="111" t="n">
        <f aca="false">SUM(E34:E37)</f>
        <v>39.554</v>
      </c>
      <c r="F38" s="111" t="n">
        <f aca="false">SUM(F34:F37)</f>
        <v>39.554</v>
      </c>
      <c r="G38" s="111" t="n">
        <f aca="false">SUM(G34:G37)</f>
        <v>39.554</v>
      </c>
      <c r="H38" s="111" t="n">
        <f aca="false">SUM(H34:H37)</f>
        <v>-55.446</v>
      </c>
      <c r="I38" s="111" t="n">
        <f aca="false">SUM(I34:I37)</f>
        <v>39.554</v>
      </c>
      <c r="J38" s="111" t="n">
        <f aca="false">SUM(J34:J37)</f>
        <v>39.554</v>
      </c>
      <c r="K38" s="111" t="n">
        <f aca="false">SUM(K34:K37)</f>
        <v>39.554</v>
      </c>
      <c r="L38" s="111" t="n">
        <f aca="false">SUM(L34:L37)</f>
        <v>320.554</v>
      </c>
    </row>
    <row r="39" customFormat="false" ht="11.25" hidden="false" customHeight="true" outlineLevel="0" collapsed="false">
      <c r="B39" s="110" t="s">
        <v>114</v>
      </c>
      <c r="C39" s="112" t="n">
        <f aca="false">1/(1+$G$7)^Appraisal!B$6</f>
        <v>0.950443247520335</v>
      </c>
      <c r="D39" s="112" t="n">
        <f aca="false">1/(1+$G$7)^Appraisal!C$6</f>
        <v>0.85857565268323</v>
      </c>
      <c r="E39" s="112" t="n">
        <f aca="false">1/(1+$G$7)^Appraisal!D$6</f>
        <v>0.775587762134805</v>
      </c>
      <c r="F39" s="112" t="n">
        <f aca="false">1/(1+$G$7)^Appraisal!E$6</f>
        <v>0.700621284674621</v>
      </c>
      <c r="G39" s="112" t="n">
        <f aca="false">1/(1+$G$7)^Appraisal!F$6</f>
        <v>0.632900889498303</v>
      </c>
      <c r="H39" s="112" t="n">
        <f aca="false">1/(1+$G$7)^Appraisal!G$6</f>
        <v>0.571726187442008</v>
      </c>
      <c r="I39" s="112" t="n">
        <f aca="false">1/(1+$G$7)^Appraisal!H$6</f>
        <v>0.51646448730082</v>
      </c>
      <c r="J39" s="112" t="n">
        <f aca="false">1/(1+$G$7)^Appraisal!I$6</f>
        <v>0.466544252304264</v>
      </c>
      <c r="K39" s="112" t="n">
        <f aca="false">1/(1+$G$7)^Appraisal!J$6</f>
        <v>0.421449189073409</v>
      </c>
      <c r="L39" s="112" t="n">
        <f aca="false">1/(1+$G$7)^Appraisal!K$6</f>
        <v>0.380712907925392</v>
      </c>
    </row>
    <row r="40" customFormat="false" ht="11.25" hidden="false" customHeight="true" outlineLevel="0" collapsed="false">
      <c r="B40" s="113" t="s">
        <v>115</v>
      </c>
      <c r="C40" s="114" t="n">
        <f aca="false">C38*C39</f>
        <v>-1668.02789939819</v>
      </c>
      <c r="D40" s="114" t="n">
        <f aca="false">D38*D39</f>
        <v>-107.075545373084</v>
      </c>
      <c r="E40" s="114" t="n">
        <f aca="false">E38*E39</f>
        <v>30.6775983434801</v>
      </c>
      <c r="F40" s="114" t="n">
        <f aca="false">F38*F39</f>
        <v>27.71237429402</v>
      </c>
      <c r="G40" s="114" t="n">
        <f aca="false">G38*G39</f>
        <v>25.0337617832159</v>
      </c>
      <c r="H40" s="114" t="n">
        <f aca="false">H38*H39</f>
        <v>-31.6999301889096</v>
      </c>
      <c r="I40" s="114" t="n">
        <f aca="false">I38*I39</f>
        <v>20.4282363306966</v>
      </c>
      <c r="J40" s="114" t="n">
        <f aca="false">J38*J39</f>
        <v>18.4536913556429</v>
      </c>
      <c r="K40" s="114" t="n">
        <f aca="false">K38*K39</f>
        <v>16.6700012246096</v>
      </c>
      <c r="L40" s="114" t="n">
        <f aca="false">L38*L39</f>
        <v>122.039045487116</v>
      </c>
    </row>
    <row r="42" customFormat="false" ht="13.5" hidden="false" customHeight="true" outlineLevel="0" collapsed="false">
      <c r="A42" s="107" t="s">
        <v>296</v>
      </c>
      <c r="B42" s="107"/>
      <c r="C42" s="107"/>
      <c r="D42" s="107"/>
      <c r="E42" s="107"/>
      <c r="F42" s="107"/>
      <c r="G42" s="107"/>
      <c r="H42" s="107"/>
      <c r="I42" s="107"/>
      <c r="J42" s="107"/>
      <c r="K42" s="107"/>
    </row>
    <row r="43" customFormat="false" ht="15" hidden="false" customHeight="false" outlineLevel="0" collapsed="false">
      <c r="B43" s="108" t="s">
        <v>201</v>
      </c>
      <c r="C43" s="109" t="s">
        <v>84</v>
      </c>
      <c r="D43" s="109" t="s">
        <v>85</v>
      </c>
      <c r="E43" s="109" t="s">
        <v>86</v>
      </c>
      <c r="F43" s="109" t="s">
        <v>87</v>
      </c>
      <c r="G43" s="109" t="s">
        <v>88</v>
      </c>
      <c r="H43" s="109" t="s">
        <v>89</v>
      </c>
      <c r="I43" s="109" t="s">
        <v>90</v>
      </c>
      <c r="J43" s="109" t="s">
        <v>91</v>
      </c>
      <c r="K43" s="109" t="s">
        <v>92</v>
      </c>
      <c r="L43" s="109" t="s">
        <v>93</v>
      </c>
    </row>
    <row r="44" customFormat="false" ht="11.25" hidden="false" customHeight="true" outlineLevel="0" collapsed="false">
      <c r="B44" s="110" t="s">
        <v>291</v>
      </c>
      <c r="C44" s="111" t="n">
        <f aca="false">MAX(0,MIN(1,(2026-Assumptions!$B$6-$H$8)-1+Assumptions!$B$22))*'Benefits Build'!$E$18*$C$8*$D$8</f>
        <v>0</v>
      </c>
      <c r="D44" s="111" t="n">
        <f aca="false">MAX(0,MIN(1,(2027-Assumptions!$B$6-$H$8)-1+Assumptions!$B$22))*'Benefits Build'!$E$18*$C$8*$D$8</f>
        <v>0</v>
      </c>
      <c r="E44" s="111" t="n">
        <f aca="false">MAX(0,MIN(1,(2028-Assumptions!$B$6-$H$8)-1+Assumptions!$B$22))*'Benefits Build'!$E$18*$C$8*$D$8</f>
        <v>165.6</v>
      </c>
      <c r="F44" s="111" t="n">
        <f aca="false">MAX(0,MIN(1,(2029-Assumptions!$B$6-$H$8)-1+Assumptions!$B$22))*'Benefits Build'!$E$18*$C$8*$D$8</f>
        <v>331.2</v>
      </c>
      <c r="G44" s="111" t="n">
        <f aca="false">MAX(0,MIN(1,(2030-Assumptions!$B$6-$H$8)-1+Assumptions!$B$22))*'Benefits Build'!$E$18*$C$8*$D$8</f>
        <v>331.2</v>
      </c>
      <c r="H44" s="111" t="n">
        <f aca="false">MAX(0,MIN(1,(2031-Assumptions!$B$6-$H$8)-1+Assumptions!$B$22))*'Benefits Build'!$E$18*$C$8*$D$8</f>
        <v>331.2</v>
      </c>
      <c r="I44" s="111" t="n">
        <f aca="false">MAX(0,MIN(1,(2032-Assumptions!$B$6-$H$8)-1+Assumptions!$B$22))*'Benefits Build'!$E$18*$C$8*$D$8</f>
        <v>331.2</v>
      </c>
      <c r="J44" s="111" t="n">
        <f aca="false">MAX(0,MIN(1,(2033-Assumptions!$B$6-$H$8)-1+Assumptions!$B$22))*'Benefits Build'!$E$18*$C$8*$D$8</f>
        <v>331.2</v>
      </c>
      <c r="K44" s="111" t="n">
        <f aca="false">MAX(0,MIN(1,(2034-Assumptions!$B$6-$H$8)-1+Assumptions!$B$22))*'Benefits Build'!$E$18*$C$8*$D$8</f>
        <v>331.2</v>
      </c>
      <c r="L44" s="111" t="n">
        <f aca="false">MAX(0,MIN(1,(2035-Assumptions!$B$6-$H$8)-1+Assumptions!$B$22))*'Benefits Build'!$E$18*$C$8*$D$8</f>
        <v>331.2</v>
      </c>
    </row>
    <row r="45" customFormat="false" ht="11.25" hidden="false" customHeight="true" outlineLevel="0" collapsed="false">
      <c r="B45" s="110" t="s">
        <v>292</v>
      </c>
      <c r="C45" s="111" t="n">
        <f aca="false">MAX(0,MIN(1,(2026-Assumptions!$B$6-$H$8)-1+Assumptions!$B$22))*('Benefits Build'!$I$10*$E$8+'Benefits Build'!$E$27-('Costs &amp; Capex'!$E$22-'Costs &amp; Capex'!$E$18))-IF(2026&gt;=2028,'Costs &amp; Capex'!$E$18,0)</f>
        <v>0</v>
      </c>
      <c r="D45" s="111" t="n">
        <f aca="false">MAX(0,MIN(1,(2027-Assumptions!$B$6-$H$8)-1+Assumptions!$B$22))*('Benefits Build'!$I$10*$E$8+'Benefits Build'!$E$27-('Costs &amp; Capex'!$E$22-'Costs &amp; Capex'!$E$18))-IF(2027&gt;=2028,'Costs &amp; Capex'!$E$18,0)</f>
        <v>0</v>
      </c>
      <c r="E45" s="111" t="n">
        <f aca="false">MAX(0,MIN(1,(2028-Assumptions!$B$6-$H$8)-1+Assumptions!$B$22))*('Benefits Build'!$I$10*$E$8+'Benefits Build'!$E$27-('Costs &amp; Capex'!$E$22-'Costs &amp; Capex'!$E$18))-IF(2028&gt;=2028,'Costs &amp; Capex'!$E$18,0)</f>
        <v>-6.29999999999999</v>
      </c>
      <c r="F45" s="111" t="n">
        <f aca="false">MAX(0,MIN(1,(2029-Assumptions!$B$6-$H$8)-1+Assumptions!$B$22))*('Benefits Build'!$I$10*$E$8+'Benefits Build'!$E$27-('Costs &amp; Capex'!$E$22-'Costs &amp; Capex'!$E$18))-IF(2029&gt;=2028,'Costs &amp; Capex'!$E$18,0)</f>
        <v>25.4</v>
      </c>
      <c r="G45" s="111" t="n">
        <f aca="false">MAX(0,MIN(1,(2030-Assumptions!$B$6-$H$8)-1+Assumptions!$B$22))*('Benefits Build'!$I$10*$E$8+'Benefits Build'!$E$27-('Costs &amp; Capex'!$E$22-'Costs &amp; Capex'!$E$18))-IF(2030&gt;=2028,'Costs &amp; Capex'!$E$18,0)</f>
        <v>25.4</v>
      </c>
      <c r="H45" s="111" t="n">
        <f aca="false">MAX(0,MIN(1,(2031-Assumptions!$B$6-$H$8)-1+Assumptions!$B$22))*('Benefits Build'!$I$10*$E$8+'Benefits Build'!$E$27-('Costs &amp; Capex'!$E$22-'Costs &amp; Capex'!$E$18))-IF(2031&gt;=2028,'Costs &amp; Capex'!$E$18,0)</f>
        <v>25.4</v>
      </c>
      <c r="I45" s="111" t="n">
        <f aca="false">MAX(0,MIN(1,(2032-Assumptions!$B$6-$H$8)-1+Assumptions!$B$22))*('Benefits Build'!$I$10*$E$8+'Benefits Build'!$E$27-('Costs &amp; Capex'!$E$22-'Costs &amp; Capex'!$E$18))-IF(2032&gt;=2028,'Costs &amp; Capex'!$E$18,0)</f>
        <v>25.4</v>
      </c>
      <c r="J45" s="111" t="n">
        <f aca="false">MAX(0,MIN(1,(2033-Assumptions!$B$6-$H$8)-1+Assumptions!$B$22))*('Benefits Build'!$I$10*$E$8+'Benefits Build'!$E$27-('Costs &amp; Capex'!$E$22-'Costs &amp; Capex'!$E$18))-IF(2033&gt;=2028,'Costs &amp; Capex'!$E$18,0)</f>
        <v>25.4</v>
      </c>
      <c r="K45" s="111" t="n">
        <f aca="false">MAX(0,MIN(1,(2034-Assumptions!$B$6-$H$8)-1+Assumptions!$B$22))*('Benefits Build'!$I$10*$E$8+'Benefits Build'!$E$27-('Costs &amp; Capex'!$E$22-'Costs &amp; Capex'!$E$18))-IF(2034&gt;=2028,'Costs &amp; Capex'!$E$18,0)</f>
        <v>25.4</v>
      </c>
      <c r="L45" s="111" t="n">
        <f aca="false">MAX(0,MIN(1,(2035-Assumptions!$B$6-$H$8)-1+Assumptions!$B$22))*('Benefits Build'!$I$10*$E$8+'Benefits Build'!$E$27-('Costs &amp; Capex'!$E$22-'Costs &amp; Capex'!$E$18))-IF(2035&gt;=2028,'Costs &amp; Capex'!$E$18,0)</f>
        <v>25.4</v>
      </c>
    </row>
    <row r="46" customFormat="false" ht="11.25" hidden="false" customHeight="true" outlineLevel="0" collapsed="false">
      <c r="B46" s="110" t="s">
        <v>293</v>
      </c>
      <c r="C46" s="111" t="n">
        <f aca="false">-((C44+C45)-IF(AND(2026&gt;=2027,2026&lt;=2027+'Costs &amp; Capex'!$C$26-1),'Costs &amp; Capex'!$C$27*$F$8,0))*Assumptions!$B$23</f>
        <v>-0</v>
      </c>
      <c r="D46" s="111" t="n">
        <f aca="false">-((D44+D45)-IF(AND(2027&gt;=2027,2027&lt;=2027+'Costs &amp; Capex'!$C$26-1),'Costs &amp; Capex'!$C$27*$F$8,0))*Assumptions!$B$23</f>
        <v>16.44</v>
      </c>
      <c r="E46" s="111" t="n">
        <f aca="false">-((E44+E45)-IF(AND(2028&gt;=2027,2028&lt;=2027+'Costs &amp; Capex'!$C$26-1),'Costs &amp; Capex'!$C$27*$F$8,0))*Assumptions!$B$23</f>
        <v>2.103</v>
      </c>
      <c r="F46" s="111" t="n">
        <f aca="false">-((F44+F45)-IF(AND(2029&gt;=2027,2029&lt;=2027+'Costs &amp; Capex'!$C$26-1),'Costs &amp; Capex'!$C$27*$F$8,0))*Assumptions!$B$23</f>
        <v>-15.654</v>
      </c>
      <c r="G46" s="111" t="n">
        <f aca="false">-((G44+G45)-IF(AND(2030&gt;=2027,2030&lt;=2027+'Costs &amp; Capex'!$C$26-1),'Costs &amp; Capex'!$C$27*$F$8,0))*Assumptions!$B$23</f>
        <v>-15.654</v>
      </c>
      <c r="H46" s="111" t="n">
        <f aca="false">-((H44+H45)-IF(AND(2031&gt;=2027,2031&lt;=2027+'Costs &amp; Capex'!$C$26-1),'Costs &amp; Capex'!$C$27*$F$8,0))*Assumptions!$B$23</f>
        <v>-15.654</v>
      </c>
      <c r="I46" s="111" t="n">
        <f aca="false">-((I44+I45)-IF(AND(2032&gt;=2027,2032&lt;=2027+'Costs &amp; Capex'!$C$26-1),'Costs &amp; Capex'!$C$27*$F$8,0))*Assumptions!$B$23</f>
        <v>-15.654</v>
      </c>
      <c r="J46" s="111" t="n">
        <f aca="false">-((J44+J45)-IF(AND(2033&gt;=2027,2033&lt;=2027+'Costs &amp; Capex'!$C$26-1),'Costs &amp; Capex'!$C$27*$F$8,0))*Assumptions!$B$23</f>
        <v>-15.654</v>
      </c>
      <c r="K46" s="111" t="n">
        <f aca="false">-((K44+K45)-IF(AND(2034&gt;=2027,2034&lt;=2027+'Costs &amp; Capex'!$C$26-1),'Costs &amp; Capex'!$C$27*$F$8,0))*Assumptions!$B$23</f>
        <v>-15.654</v>
      </c>
      <c r="L46" s="111" t="n">
        <f aca="false">-((L44+L45)-IF(AND(2035&gt;=2027,2035&lt;=2027+'Costs &amp; Capex'!$C$26-1),'Costs &amp; Capex'!$C$27*$F$8,0))*Assumptions!$B$23</f>
        <v>-15.654</v>
      </c>
    </row>
    <row r="47" customFormat="false" ht="11.25" hidden="false" customHeight="true" outlineLevel="0" collapsed="false">
      <c r="B47" s="110" t="s">
        <v>294</v>
      </c>
      <c r="C47" s="111" t="n">
        <f aca="false">-SUMIFS('Costs &amp; Capex'!$C$6:$C$12,'Costs &amp; Capex'!$E$6:$E$12,2026)*$F$8-IF(2026=Assumptions!$B$26,Assumptions!$B$25,0)+IF(2026=2035,Assumptions!$B$27*$F$8,0)-IF(2026=2027,Assumptions!$B$24,0)+IF(2026=2035,Assumptions!$B$24,0)</f>
        <v>-1755</v>
      </c>
      <c r="D47" s="111" t="n">
        <f aca="false">-SUMIFS('Costs &amp; Capex'!$C$6:$C$12,'Costs &amp; Capex'!$E$6:$E$12,2027)*$F$8-IF(2027=Assumptions!$B$26,Assumptions!$B$25,0)+IF(2027=2035,Assumptions!$B$27*$F$8,0)-IF(2027=2027,Assumptions!$B$24,0)+IF(2027=2035,Assumptions!$B$24,0)</f>
        <v>-170</v>
      </c>
      <c r="E47" s="111" t="n">
        <f aca="false">-SUMIFS('Costs &amp; Capex'!$C$6:$C$12,'Costs &amp; Capex'!$E$6:$E$12,2028)*$F$8-IF(2028=Assumptions!$B$26,Assumptions!$B$25,0)+IF(2028=2035,Assumptions!$B$27*$F$8,0)-IF(2028=2027,Assumptions!$B$24,0)+IF(2028=2035,Assumptions!$B$24,0)</f>
        <v>0</v>
      </c>
      <c r="F47" s="111" t="n">
        <f aca="false">-SUMIFS('Costs &amp; Capex'!$C$6:$C$12,'Costs &amp; Capex'!$E$6:$E$12,2029)*$F$8-IF(2029=Assumptions!$B$26,Assumptions!$B$25,0)+IF(2029=2035,Assumptions!$B$27*$F$8,0)-IF(2029=2027,Assumptions!$B$24,0)+IF(2029=2035,Assumptions!$B$24,0)</f>
        <v>0</v>
      </c>
      <c r="G47" s="111" t="n">
        <f aca="false">-SUMIFS('Costs &amp; Capex'!$C$6:$C$12,'Costs &amp; Capex'!$E$6:$E$12,2030)*$F$8-IF(2030=Assumptions!$B$26,Assumptions!$B$25,0)+IF(2030=2035,Assumptions!$B$27*$F$8,0)-IF(2030=2027,Assumptions!$B$24,0)+IF(2030=2035,Assumptions!$B$24,0)</f>
        <v>0</v>
      </c>
      <c r="H47" s="111" t="n">
        <f aca="false">-SUMIFS('Costs &amp; Capex'!$C$6:$C$12,'Costs &amp; Capex'!$E$6:$E$12,2031)*$F$8-IF(2031=Assumptions!$B$26,Assumptions!$B$25,0)+IF(2031=2035,Assumptions!$B$27*$F$8,0)-IF(2031=2027,Assumptions!$B$24,0)+IF(2031=2035,Assumptions!$B$24,0)</f>
        <v>-95</v>
      </c>
      <c r="I47" s="111" t="n">
        <f aca="false">-SUMIFS('Costs &amp; Capex'!$C$6:$C$12,'Costs &amp; Capex'!$E$6:$E$12,2032)*$F$8-IF(2032=Assumptions!$B$26,Assumptions!$B$25,0)+IF(2032=2035,Assumptions!$B$27*$F$8,0)-IF(2032=2027,Assumptions!$B$24,0)+IF(2032=2035,Assumptions!$B$24,0)</f>
        <v>0</v>
      </c>
      <c r="J47" s="111" t="n">
        <f aca="false">-SUMIFS('Costs &amp; Capex'!$C$6:$C$12,'Costs &amp; Capex'!$E$6:$E$12,2033)*$F$8-IF(2033=Assumptions!$B$26,Assumptions!$B$25,0)+IF(2033=2035,Assumptions!$B$27*$F$8,0)-IF(2033=2027,Assumptions!$B$24,0)+IF(2033=2035,Assumptions!$B$24,0)</f>
        <v>0</v>
      </c>
      <c r="K47" s="111" t="n">
        <f aca="false">-SUMIFS('Costs &amp; Capex'!$C$6:$C$12,'Costs &amp; Capex'!$E$6:$E$12,2034)*$F$8-IF(2034=Assumptions!$B$26,Assumptions!$B$25,0)+IF(2034=2035,Assumptions!$B$27*$F$8,0)-IF(2034=2027,Assumptions!$B$24,0)+IF(2034=2035,Assumptions!$B$24,0)</f>
        <v>0</v>
      </c>
      <c r="L47" s="111" t="n">
        <f aca="false">-SUMIFS('Costs &amp; Capex'!$C$6:$C$12,'Costs &amp; Capex'!$E$6:$E$12,2035)*$F$8-IF(2035=Assumptions!$B$26,Assumptions!$B$25,0)+IF(2035=2035,Assumptions!$B$27*$F$8,0)-IF(2035=2027,Assumptions!$B$24,0)+IF(2035=2035,Assumptions!$B$24,0)</f>
        <v>281</v>
      </c>
    </row>
    <row r="48" customFormat="false" ht="11.25" hidden="false" customHeight="true" outlineLevel="0" collapsed="false">
      <c r="B48" s="110" t="s">
        <v>112</v>
      </c>
      <c r="C48" s="111" t="n">
        <f aca="false">SUM(C44:C47)</f>
        <v>-1755</v>
      </c>
      <c r="D48" s="111" t="n">
        <f aca="false">SUM(D44:D47)</f>
        <v>-153.56</v>
      </c>
      <c r="E48" s="111" t="n">
        <f aca="false">SUM(E44:E47)</f>
        <v>161.403</v>
      </c>
      <c r="F48" s="111" t="n">
        <f aca="false">SUM(F44:F47)</f>
        <v>340.946</v>
      </c>
      <c r="G48" s="111" t="n">
        <f aca="false">SUM(G44:G47)</f>
        <v>340.946</v>
      </c>
      <c r="H48" s="111" t="n">
        <f aca="false">SUM(H44:H47)</f>
        <v>245.946</v>
      </c>
      <c r="I48" s="111" t="n">
        <f aca="false">SUM(I44:I47)</f>
        <v>340.946</v>
      </c>
      <c r="J48" s="111" t="n">
        <f aca="false">SUM(J44:J47)</f>
        <v>340.946</v>
      </c>
      <c r="K48" s="111" t="n">
        <f aca="false">SUM(K44:K47)</f>
        <v>340.946</v>
      </c>
      <c r="L48" s="111" t="n">
        <f aca="false">SUM(L44:L47)</f>
        <v>621.946</v>
      </c>
    </row>
    <row r="49" customFormat="false" ht="11.25" hidden="false" customHeight="true" outlineLevel="0" collapsed="false">
      <c r="B49" s="110" t="s">
        <v>114</v>
      </c>
      <c r="C49" s="112" t="n">
        <f aca="false">1/(1+$G$8)^Appraisal!B$6</f>
        <v>0.950443247520335</v>
      </c>
      <c r="D49" s="112" t="n">
        <f aca="false">1/(1+$G$8)^Appraisal!C$6</f>
        <v>0.85857565268323</v>
      </c>
      <c r="E49" s="112" t="n">
        <f aca="false">1/(1+$G$8)^Appraisal!D$6</f>
        <v>0.775587762134805</v>
      </c>
      <c r="F49" s="112" t="n">
        <f aca="false">1/(1+$G$8)^Appraisal!E$6</f>
        <v>0.700621284674621</v>
      </c>
      <c r="G49" s="112" t="n">
        <f aca="false">1/(1+$G$8)^Appraisal!F$6</f>
        <v>0.632900889498303</v>
      </c>
      <c r="H49" s="112" t="n">
        <f aca="false">1/(1+$G$8)^Appraisal!G$6</f>
        <v>0.571726187442008</v>
      </c>
      <c r="I49" s="112" t="n">
        <f aca="false">1/(1+$G$8)^Appraisal!H$6</f>
        <v>0.51646448730082</v>
      </c>
      <c r="J49" s="112" t="n">
        <f aca="false">1/(1+$G$8)^Appraisal!I$6</f>
        <v>0.466544252304264</v>
      </c>
      <c r="K49" s="112" t="n">
        <f aca="false">1/(1+$G$8)^Appraisal!J$6</f>
        <v>0.421449189073409</v>
      </c>
      <c r="L49" s="112" t="n">
        <f aca="false">1/(1+$G$8)^Appraisal!K$6</f>
        <v>0.380712907925392</v>
      </c>
    </row>
    <row r="50" customFormat="false" ht="11.25" hidden="false" customHeight="true" outlineLevel="0" collapsed="false">
      <c r="B50" s="113" t="s">
        <v>115</v>
      </c>
      <c r="C50" s="114" t="n">
        <f aca="false">C48*C49</f>
        <v>-1668.02789939819</v>
      </c>
      <c r="D50" s="114" t="n">
        <f aca="false">D48*D49</f>
        <v>-131.842877226037</v>
      </c>
      <c r="E50" s="114" t="n">
        <f aca="false">E48*E49</f>
        <v>125.182191571844</v>
      </c>
      <c r="F50" s="114" t="n">
        <f aca="false">F48*F49</f>
        <v>238.874024524673</v>
      </c>
      <c r="G50" s="114" t="n">
        <f aca="false">G48*G49</f>
        <v>215.785026670888</v>
      </c>
      <c r="H50" s="114" t="n">
        <f aca="false">H48*H49</f>
        <v>140.613768896612</v>
      </c>
      <c r="I50" s="114" t="n">
        <f aca="false">I48*I49</f>
        <v>176.086501087265</v>
      </c>
      <c r="J50" s="114" t="n">
        <f aca="false">J48*J49</f>
        <v>159.06639664613</v>
      </c>
      <c r="K50" s="114" t="n">
        <f aca="false">K48*K49</f>
        <v>143.691415217823</v>
      </c>
      <c r="L50" s="114" t="n">
        <f aca="false">L48*L49</f>
        <v>236.782870232566</v>
      </c>
    </row>
    <row r="52" customFormat="false" ht="13.5" hidden="false" customHeight="true" outlineLevel="0" collapsed="false">
      <c r="A52" s="107" t="s">
        <v>297</v>
      </c>
      <c r="B52" s="107"/>
      <c r="C52" s="107"/>
      <c r="D52" s="107"/>
      <c r="E52" s="107"/>
      <c r="F52" s="107"/>
      <c r="G52" s="107"/>
      <c r="H52" s="107"/>
      <c r="I52" s="107"/>
      <c r="J52" s="107"/>
      <c r="K52" s="107"/>
    </row>
    <row r="53" customFormat="false" ht="15" hidden="false" customHeight="false" outlineLevel="0" collapsed="false">
      <c r="B53" s="108" t="s">
        <v>201</v>
      </c>
      <c r="C53" s="109" t="s">
        <v>84</v>
      </c>
      <c r="D53" s="109" t="s">
        <v>85</v>
      </c>
      <c r="E53" s="109" t="s">
        <v>86</v>
      </c>
      <c r="F53" s="109" t="s">
        <v>87</v>
      </c>
      <c r="G53" s="109" t="s">
        <v>88</v>
      </c>
      <c r="H53" s="109" t="s">
        <v>89</v>
      </c>
      <c r="I53" s="109" t="s">
        <v>90</v>
      </c>
      <c r="J53" s="109" t="s">
        <v>91</v>
      </c>
      <c r="K53" s="109" t="s">
        <v>92</v>
      </c>
      <c r="L53" s="109" t="s">
        <v>93</v>
      </c>
    </row>
    <row r="54" customFormat="false" ht="11.25" hidden="false" customHeight="true" outlineLevel="0" collapsed="false">
      <c r="B54" s="110" t="s">
        <v>291</v>
      </c>
      <c r="C54" s="111" t="n">
        <f aca="false">MAX(0,MIN(1,(2026-Assumptions!$B$6-$H$9)-1+Assumptions!$B$22))*'Benefits Build'!$E$18*$C$9*$D$9</f>
        <v>0</v>
      </c>
      <c r="D54" s="111" t="n">
        <f aca="false">MAX(0,MIN(1,(2027-Assumptions!$B$6-$H$9)-1+Assumptions!$B$22))*'Benefits Build'!$E$18*$C$9*$D$9</f>
        <v>140.76</v>
      </c>
      <c r="E54" s="111" t="n">
        <f aca="false">MAX(0,MIN(1,(2028-Assumptions!$B$6-$H$9)-1+Assumptions!$B$22))*'Benefits Build'!$E$18*$C$9*$D$9</f>
        <v>281.52</v>
      </c>
      <c r="F54" s="111" t="n">
        <f aca="false">MAX(0,MIN(1,(2029-Assumptions!$B$6-$H$9)-1+Assumptions!$B$22))*'Benefits Build'!$E$18*$C$9*$D$9</f>
        <v>281.52</v>
      </c>
      <c r="G54" s="111" t="n">
        <f aca="false">MAX(0,MIN(1,(2030-Assumptions!$B$6-$H$9)-1+Assumptions!$B$22))*'Benefits Build'!$E$18*$C$9*$D$9</f>
        <v>281.52</v>
      </c>
      <c r="H54" s="111" t="n">
        <f aca="false">MAX(0,MIN(1,(2031-Assumptions!$B$6-$H$9)-1+Assumptions!$B$22))*'Benefits Build'!$E$18*$C$9*$D$9</f>
        <v>281.52</v>
      </c>
      <c r="I54" s="111" t="n">
        <f aca="false">MAX(0,MIN(1,(2032-Assumptions!$B$6-$H$9)-1+Assumptions!$B$22))*'Benefits Build'!$E$18*$C$9*$D$9</f>
        <v>281.52</v>
      </c>
      <c r="J54" s="111" t="n">
        <f aca="false">MAX(0,MIN(1,(2033-Assumptions!$B$6-$H$9)-1+Assumptions!$B$22))*'Benefits Build'!$E$18*$C$9*$D$9</f>
        <v>281.52</v>
      </c>
      <c r="K54" s="111" t="n">
        <f aca="false">MAX(0,MIN(1,(2034-Assumptions!$B$6-$H$9)-1+Assumptions!$B$22))*'Benefits Build'!$E$18*$C$9*$D$9</f>
        <v>281.52</v>
      </c>
      <c r="L54" s="111" t="n">
        <f aca="false">MAX(0,MIN(1,(2035-Assumptions!$B$6-$H$9)-1+Assumptions!$B$22))*'Benefits Build'!$E$18*$C$9*$D$9</f>
        <v>281.52</v>
      </c>
    </row>
    <row r="55" customFormat="false" ht="11.25" hidden="false" customHeight="true" outlineLevel="0" collapsed="false">
      <c r="B55" s="110" t="s">
        <v>292</v>
      </c>
      <c r="C55" s="111" t="n">
        <f aca="false">MAX(0,MIN(1,(2026-Assumptions!$B$6-$H$9)-1+Assumptions!$B$22))*('Benefits Build'!$I$10*$E$9+'Benefits Build'!$E$27-('Costs &amp; Capex'!$E$22-'Costs &amp; Capex'!$E$18))-IF(2026&gt;=2028,'Costs &amp; Capex'!$E$18,0)</f>
        <v>0</v>
      </c>
      <c r="D55" s="111" t="n">
        <f aca="false">MAX(0,MIN(1,(2027-Assumptions!$B$6-$H$9)-1+Assumptions!$B$22))*('Benefits Build'!$I$10*$E$9+'Benefits Build'!$E$27-('Costs &amp; Capex'!$E$22-'Costs &amp; Capex'!$E$18))-IF(2027&gt;=2028,'Costs &amp; Capex'!$E$18,0)</f>
        <v>31.7</v>
      </c>
      <c r="E55" s="111" t="n">
        <f aca="false">MAX(0,MIN(1,(2028-Assumptions!$B$6-$H$9)-1+Assumptions!$B$22))*('Benefits Build'!$I$10*$E$9+'Benefits Build'!$E$27-('Costs &amp; Capex'!$E$22-'Costs &amp; Capex'!$E$18))-IF(2028&gt;=2028,'Costs &amp; Capex'!$E$18,0)</f>
        <v>25.4</v>
      </c>
      <c r="F55" s="111" t="n">
        <f aca="false">MAX(0,MIN(1,(2029-Assumptions!$B$6-$H$9)-1+Assumptions!$B$22))*('Benefits Build'!$I$10*$E$9+'Benefits Build'!$E$27-('Costs &amp; Capex'!$E$22-'Costs &amp; Capex'!$E$18))-IF(2029&gt;=2028,'Costs &amp; Capex'!$E$18,0)</f>
        <v>25.4</v>
      </c>
      <c r="G55" s="111" t="n">
        <f aca="false">MAX(0,MIN(1,(2030-Assumptions!$B$6-$H$9)-1+Assumptions!$B$22))*('Benefits Build'!$I$10*$E$9+'Benefits Build'!$E$27-('Costs &amp; Capex'!$E$22-'Costs &amp; Capex'!$E$18))-IF(2030&gt;=2028,'Costs &amp; Capex'!$E$18,0)</f>
        <v>25.4</v>
      </c>
      <c r="H55" s="111" t="n">
        <f aca="false">MAX(0,MIN(1,(2031-Assumptions!$B$6-$H$9)-1+Assumptions!$B$22))*('Benefits Build'!$I$10*$E$9+'Benefits Build'!$E$27-('Costs &amp; Capex'!$E$22-'Costs &amp; Capex'!$E$18))-IF(2031&gt;=2028,'Costs &amp; Capex'!$E$18,0)</f>
        <v>25.4</v>
      </c>
      <c r="I55" s="111" t="n">
        <f aca="false">MAX(0,MIN(1,(2032-Assumptions!$B$6-$H$9)-1+Assumptions!$B$22))*('Benefits Build'!$I$10*$E$9+'Benefits Build'!$E$27-('Costs &amp; Capex'!$E$22-'Costs &amp; Capex'!$E$18))-IF(2032&gt;=2028,'Costs &amp; Capex'!$E$18,0)</f>
        <v>25.4</v>
      </c>
      <c r="J55" s="111" t="n">
        <f aca="false">MAX(0,MIN(1,(2033-Assumptions!$B$6-$H$9)-1+Assumptions!$B$22))*('Benefits Build'!$I$10*$E$9+'Benefits Build'!$E$27-('Costs &amp; Capex'!$E$22-'Costs &amp; Capex'!$E$18))-IF(2033&gt;=2028,'Costs &amp; Capex'!$E$18,0)</f>
        <v>25.4</v>
      </c>
      <c r="K55" s="111" t="n">
        <f aca="false">MAX(0,MIN(1,(2034-Assumptions!$B$6-$H$9)-1+Assumptions!$B$22))*('Benefits Build'!$I$10*$E$9+'Benefits Build'!$E$27-('Costs &amp; Capex'!$E$22-'Costs &amp; Capex'!$E$18))-IF(2034&gt;=2028,'Costs &amp; Capex'!$E$18,0)</f>
        <v>25.4</v>
      </c>
      <c r="L55" s="111" t="n">
        <f aca="false">MAX(0,MIN(1,(2035-Assumptions!$B$6-$H$9)-1+Assumptions!$B$22))*('Benefits Build'!$I$10*$E$9+'Benefits Build'!$E$27-('Costs &amp; Capex'!$E$22-'Costs &amp; Capex'!$E$18))-IF(2035&gt;=2028,'Costs &amp; Capex'!$E$18,0)</f>
        <v>25.4</v>
      </c>
    </row>
    <row r="56" customFormat="false" ht="11.25" hidden="false" customHeight="true" outlineLevel="0" collapsed="false">
      <c r="B56" s="110" t="s">
        <v>293</v>
      </c>
      <c r="C56" s="111" t="n">
        <f aca="false">-((C54+C55)-IF(AND(2026&gt;=2027,2026&lt;=2027+'Costs &amp; Capex'!$C$26-1),'Costs &amp; Capex'!$C$27*$F$9,0))*Assumptions!$B$23</f>
        <v>-0</v>
      </c>
      <c r="D56" s="111" t="n">
        <f aca="false">-((D54+D55)-IF(AND(2027&gt;=2027,2027&lt;=2027+'Costs &amp; Capex'!$C$26-1),'Costs &amp; Capex'!$C$27*$F$9,0))*Assumptions!$B$23</f>
        <v>0.918599999999996</v>
      </c>
      <c r="E56" s="111" t="n">
        <f aca="false">-((E54+E55)-IF(AND(2028&gt;=2027,2028&lt;=2027+'Costs &amp; Capex'!$C$26-1),'Costs &amp; Capex'!$C$27*$F$9,0))*Assumptions!$B$23</f>
        <v>-11.1828</v>
      </c>
      <c r="F56" s="111" t="n">
        <f aca="false">-((F54+F55)-IF(AND(2029&gt;=2027,2029&lt;=2027+'Costs &amp; Capex'!$C$26-1),'Costs &amp; Capex'!$C$27*$F$9,0))*Assumptions!$B$23</f>
        <v>-11.1828</v>
      </c>
      <c r="G56" s="111" t="n">
        <f aca="false">-((G54+G55)-IF(AND(2030&gt;=2027,2030&lt;=2027+'Costs &amp; Capex'!$C$26-1),'Costs &amp; Capex'!$C$27*$F$9,0))*Assumptions!$B$23</f>
        <v>-11.1828</v>
      </c>
      <c r="H56" s="111" t="n">
        <f aca="false">-((H54+H55)-IF(AND(2031&gt;=2027,2031&lt;=2027+'Costs &amp; Capex'!$C$26-1),'Costs &amp; Capex'!$C$27*$F$9,0))*Assumptions!$B$23</f>
        <v>-11.1828</v>
      </c>
      <c r="I56" s="111" t="n">
        <f aca="false">-((I54+I55)-IF(AND(2032&gt;=2027,2032&lt;=2027+'Costs &amp; Capex'!$C$26-1),'Costs &amp; Capex'!$C$27*$F$9,0))*Assumptions!$B$23</f>
        <v>-11.1828</v>
      </c>
      <c r="J56" s="111" t="n">
        <f aca="false">-((J54+J55)-IF(AND(2033&gt;=2027,2033&lt;=2027+'Costs &amp; Capex'!$C$26-1),'Costs &amp; Capex'!$C$27*$F$9,0))*Assumptions!$B$23</f>
        <v>-11.1828</v>
      </c>
      <c r="K56" s="111" t="n">
        <f aca="false">-((K54+K55)-IF(AND(2034&gt;=2027,2034&lt;=2027+'Costs &amp; Capex'!$C$26-1),'Costs &amp; Capex'!$C$27*$F$9,0))*Assumptions!$B$23</f>
        <v>-11.1828</v>
      </c>
      <c r="L56" s="111" t="n">
        <f aca="false">-((L54+L55)-IF(AND(2035&gt;=2027,2035&lt;=2027+'Costs &amp; Capex'!$C$26-1),'Costs &amp; Capex'!$C$27*$F$9,0))*Assumptions!$B$23</f>
        <v>-11.1828</v>
      </c>
    </row>
    <row r="57" customFormat="false" ht="11.25" hidden="false" customHeight="true" outlineLevel="0" collapsed="false">
      <c r="B57" s="110" t="s">
        <v>294</v>
      </c>
      <c r="C57" s="111" t="n">
        <f aca="false">-SUMIFS('Costs &amp; Capex'!$C$6:$C$12,'Costs &amp; Capex'!$E$6:$E$12,2026)*$F$9-IF(2026=Assumptions!$B$26,Assumptions!$B$25,0)+IF(2026=2035,Assumptions!$B$27*$F$9,0)-IF(2026=2027,Assumptions!$B$24,0)+IF(2026=2035,Assumptions!$B$24,0)</f>
        <v>-1755</v>
      </c>
      <c r="D57" s="111" t="n">
        <f aca="false">-SUMIFS('Costs &amp; Capex'!$C$6:$C$12,'Costs &amp; Capex'!$E$6:$E$12,2027)*$F$9-IF(2027=Assumptions!$B$26,Assumptions!$B$25,0)+IF(2027=2035,Assumptions!$B$27*$F$9,0)-IF(2027=2027,Assumptions!$B$24,0)+IF(2027=2035,Assumptions!$B$24,0)</f>
        <v>-170</v>
      </c>
      <c r="E57" s="111" t="n">
        <f aca="false">-SUMIFS('Costs &amp; Capex'!$C$6:$C$12,'Costs &amp; Capex'!$E$6:$E$12,2028)*$F$9-IF(2028=Assumptions!$B$26,Assumptions!$B$25,0)+IF(2028=2035,Assumptions!$B$27*$F$9,0)-IF(2028=2027,Assumptions!$B$24,0)+IF(2028=2035,Assumptions!$B$24,0)</f>
        <v>0</v>
      </c>
      <c r="F57" s="111" t="n">
        <f aca="false">-SUMIFS('Costs &amp; Capex'!$C$6:$C$12,'Costs &amp; Capex'!$E$6:$E$12,2029)*$F$9-IF(2029=Assumptions!$B$26,Assumptions!$B$25,0)+IF(2029=2035,Assumptions!$B$27*$F$9,0)-IF(2029=2027,Assumptions!$B$24,0)+IF(2029=2035,Assumptions!$B$24,0)</f>
        <v>0</v>
      </c>
      <c r="G57" s="111" t="n">
        <f aca="false">-SUMIFS('Costs &amp; Capex'!$C$6:$C$12,'Costs &amp; Capex'!$E$6:$E$12,2030)*$F$9-IF(2030=Assumptions!$B$26,Assumptions!$B$25,0)+IF(2030=2035,Assumptions!$B$27*$F$9,0)-IF(2030=2027,Assumptions!$B$24,0)+IF(2030=2035,Assumptions!$B$24,0)</f>
        <v>0</v>
      </c>
      <c r="H57" s="111" t="n">
        <f aca="false">-SUMIFS('Costs &amp; Capex'!$C$6:$C$12,'Costs &amp; Capex'!$E$6:$E$12,2031)*$F$9-IF(2031=Assumptions!$B$26,Assumptions!$B$25,0)+IF(2031=2035,Assumptions!$B$27*$F$9,0)-IF(2031=2027,Assumptions!$B$24,0)+IF(2031=2035,Assumptions!$B$24,0)</f>
        <v>-95</v>
      </c>
      <c r="I57" s="111" t="n">
        <f aca="false">-SUMIFS('Costs &amp; Capex'!$C$6:$C$12,'Costs &amp; Capex'!$E$6:$E$12,2032)*$F$9-IF(2032=Assumptions!$B$26,Assumptions!$B$25,0)+IF(2032=2035,Assumptions!$B$27*$F$9,0)-IF(2032=2027,Assumptions!$B$24,0)+IF(2032=2035,Assumptions!$B$24,0)</f>
        <v>0</v>
      </c>
      <c r="J57" s="111" t="n">
        <f aca="false">-SUMIFS('Costs &amp; Capex'!$C$6:$C$12,'Costs &amp; Capex'!$E$6:$E$12,2033)*$F$9-IF(2033=Assumptions!$B$26,Assumptions!$B$25,0)+IF(2033=2035,Assumptions!$B$27*$F$9,0)-IF(2033=2027,Assumptions!$B$24,0)+IF(2033=2035,Assumptions!$B$24,0)</f>
        <v>0</v>
      </c>
      <c r="K57" s="111" t="n">
        <f aca="false">-SUMIFS('Costs &amp; Capex'!$C$6:$C$12,'Costs &amp; Capex'!$E$6:$E$12,2034)*$F$9-IF(2034=Assumptions!$B$26,Assumptions!$B$25,0)+IF(2034=2035,Assumptions!$B$27*$F$9,0)-IF(2034=2027,Assumptions!$B$24,0)+IF(2034=2035,Assumptions!$B$24,0)</f>
        <v>0</v>
      </c>
      <c r="L57" s="111" t="n">
        <f aca="false">-SUMIFS('Costs &amp; Capex'!$C$6:$C$12,'Costs &amp; Capex'!$E$6:$E$12,2035)*$F$9-IF(2035=Assumptions!$B$26,Assumptions!$B$25,0)+IF(2035=2035,Assumptions!$B$27*$F$9,0)-IF(2035=2027,Assumptions!$B$24,0)+IF(2035=2035,Assumptions!$B$24,0)</f>
        <v>281</v>
      </c>
    </row>
    <row r="58" customFormat="false" ht="11.25" hidden="false" customHeight="true" outlineLevel="0" collapsed="false">
      <c r="B58" s="110" t="s">
        <v>112</v>
      </c>
      <c r="C58" s="111" t="n">
        <f aca="false">SUM(C54:C57)</f>
        <v>-1755</v>
      </c>
      <c r="D58" s="111" t="n">
        <f aca="false">SUM(D54:D57)</f>
        <v>3.37860000000003</v>
      </c>
      <c r="E58" s="111" t="n">
        <f aca="false">SUM(E54:E57)</f>
        <v>295.7372</v>
      </c>
      <c r="F58" s="111" t="n">
        <f aca="false">SUM(F54:F57)</f>
        <v>295.7372</v>
      </c>
      <c r="G58" s="111" t="n">
        <f aca="false">SUM(G54:G57)</f>
        <v>295.7372</v>
      </c>
      <c r="H58" s="111" t="n">
        <f aca="false">SUM(H54:H57)</f>
        <v>200.7372</v>
      </c>
      <c r="I58" s="111" t="n">
        <f aca="false">SUM(I54:I57)</f>
        <v>295.7372</v>
      </c>
      <c r="J58" s="111" t="n">
        <f aca="false">SUM(J54:J57)</f>
        <v>295.7372</v>
      </c>
      <c r="K58" s="111" t="n">
        <f aca="false">SUM(K54:K57)</f>
        <v>295.7372</v>
      </c>
      <c r="L58" s="111" t="n">
        <f aca="false">SUM(L54:L57)</f>
        <v>576.7372</v>
      </c>
    </row>
    <row r="59" customFormat="false" ht="11.25" hidden="false" customHeight="true" outlineLevel="0" collapsed="false">
      <c r="B59" s="110" t="s">
        <v>114</v>
      </c>
      <c r="C59" s="112" t="n">
        <f aca="false">1/(1+$G$9)^Appraisal!B$6</f>
        <v>0.950443247520335</v>
      </c>
      <c r="D59" s="112" t="n">
        <f aca="false">1/(1+$G$9)^Appraisal!C$6</f>
        <v>0.85857565268323</v>
      </c>
      <c r="E59" s="112" t="n">
        <f aca="false">1/(1+$G$9)^Appraisal!D$6</f>
        <v>0.775587762134805</v>
      </c>
      <c r="F59" s="112" t="n">
        <f aca="false">1/(1+$G$9)^Appraisal!E$6</f>
        <v>0.700621284674621</v>
      </c>
      <c r="G59" s="112" t="n">
        <f aca="false">1/(1+$G$9)^Appraisal!F$6</f>
        <v>0.632900889498303</v>
      </c>
      <c r="H59" s="112" t="n">
        <f aca="false">1/(1+$G$9)^Appraisal!G$6</f>
        <v>0.571726187442008</v>
      </c>
      <c r="I59" s="112" t="n">
        <f aca="false">1/(1+$G$9)^Appraisal!H$6</f>
        <v>0.51646448730082</v>
      </c>
      <c r="J59" s="112" t="n">
        <f aca="false">1/(1+$G$9)^Appraisal!I$6</f>
        <v>0.466544252304264</v>
      </c>
      <c r="K59" s="112" t="n">
        <f aca="false">1/(1+$G$9)^Appraisal!J$6</f>
        <v>0.421449189073409</v>
      </c>
      <c r="L59" s="112" t="n">
        <f aca="false">1/(1+$G$9)^Appraisal!K$6</f>
        <v>0.380712907925392</v>
      </c>
    </row>
    <row r="60" customFormat="false" ht="11.25" hidden="false" customHeight="true" outlineLevel="0" collapsed="false">
      <c r="B60" s="113" t="s">
        <v>115</v>
      </c>
      <c r="C60" s="114" t="n">
        <f aca="false">C58*C59</f>
        <v>-1668.02789939819</v>
      </c>
      <c r="D60" s="114" t="n">
        <f aca="false">D58*D59</f>
        <v>2.90078370015559</v>
      </c>
      <c r="E60" s="114" t="n">
        <f aca="false">E58*E59</f>
        <v>229.370153128013</v>
      </c>
      <c r="F60" s="114" t="n">
        <f aca="false">F58*F59</f>
        <v>207.199776990075</v>
      </c>
      <c r="G60" s="114" t="n">
        <f aca="false">G58*G59</f>
        <v>187.172336937737</v>
      </c>
      <c r="H60" s="114" t="n">
        <f aca="false">H58*H59</f>
        <v>114.766714033784</v>
      </c>
      <c r="I60" s="114" t="n">
        <f aca="false">I58*I59</f>
        <v>152.73776137378</v>
      </c>
      <c r="J60" s="114" t="n">
        <f aca="false">J58*J59</f>
        <v>137.974490852557</v>
      </c>
      <c r="K60" s="114" t="n">
        <f aca="false">K58*K59</f>
        <v>124.638203118841</v>
      </c>
      <c r="L60" s="114" t="n">
        <f aca="false">L58*L59</f>
        <v>219.571296520748</v>
      </c>
    </row>
    <row r="62" customFormat="false" ht="13.5" hidden="false" customHeight="true" outlineLevel="0" collapsed="false">
      <c r="A62" s="107" t="s">
        <v>298</v>
      </c>
      <c r="B62" s="107"/>
      <c r="C62" s="107"/>
      <c r="D62" s="107"/>
      <c r="E62" s="107"/>
      <c r="F62" s="107"/>
      <c r="G62" s="107"/>
      <c r="H62" s="107"/>
      <c r="I62" s="107"/>
      <c r="J62" s="107"/>
      <c r="K62" s="107"/>
    </row>
    <row r="63" customFormat="false" ht="15" hidden="false" customHeight="false" outlineLevel="0" collapsed="false">
      <c r="B63" s="108" t="s">
        <v>201</v>
      </c>
      <c r="C63" s="109" t="s">
        <v>84</v>
      </c>
      <c r="D63" s="109" t="s">
        <v>85</v>
      </c>
      <c r="E63" s="109" t="s">
        <v>86</v>
      </c>
      <c r="F63" s="109" t="s">
        <v>87</v>
      </c>
      <c r="G63" s="109" t="s">
        <v>88</v>
      </c>
      <c r="H63" s="109" t="s">
        <v>89</v>
      </c>
      <c r="I63" s="109" t="s">
        <v>90</v>
      </c>
      <c r="J63" s="109" t="s">
        <v>91</v>
      </c>
      <c r="K63" s="109" t="s">
        <v>92</v>
      </c>
      <c r="L63" s="109" t="s">
        <v>93</v>
      </c>
    </row>
    <row r="64" customFormat="false" ht="11.25" hidden="false" customHeight="true" outlineLevel="0" collapsed="false">
      <c r="B64" s="110" t="s">
        <v>291</v>
      </c>
      <c r="C64" s="111" t="n">
        <f aca="false">MAX(0,MIN(1,(2026-Assumptions!$B$6-$H$10)-1+Assumptions!$B$22))*'Benefits Build'!$E$18*$C$10*$D$10</f>
        <v>0</v>
      </c>
      <c r="D64" s="111" t="n">
        <f aca="false">MAX(0,MIN(1,(2027-Assumptions!$B$6-$H$10)-1+Assumptions!$B$22))*'Benefits Build'!$E$18*$C$10*$D$10</f>
        <v>149.04</v>
      </c>
      <c r="E64" s="111" t="n">
        <f aca="false">MAX(0,MIN(1,(2028-Assumptions!$B$6-$H$10)-1+Assumptions!$B$22))*'Benefits Build'!$E$18*$C$10*$D$10</f>
        <v>298.08</v>
      </c>
      <c r="F64" s="111" t="n">
        <f aca="false">MAX(0,MIN(1,(2029-Assumptions!$B$6-$H$10)-1+Assumptions!$B$22))*'Benefits Build'!$E$18*$C$10*$D$10</f>
        <v>298.08</v>
      </c>
      <c r="G64" s="111" t="n">
        <f aca="false">MAX(0,MIN(1,(2030-Assumptions!$B$6-$H$10)-1+Assumptions!$B$22))*'Benefits Build'!$E$18*$C$10*$D$10</f>
        <v>298.08</v>
      </c>
      <c r="H64" s="111" t="n">
        <f aca="false">MAX(0,MIN(1,(2031-Assumptions!$B$6-$H$10)-1+Assumptions!$B$22))*'Benefits Build'!$E$18*$C$10*$D$10</f>
        <v>298.08</v>
      </c>
      <c r="I64" s="111" t="n">
        <f aca="false">MAX(0,MIN(1,(2032-Assumptions!$B$6-$H$10)-1+Assumptions!$B$22))*'Benefits Build'!$E$18*$C$10*$D$10</f>
        <v>298.08</v>
      </c>
      <c r="J64" s="111" t="n">
        <f aca="false">MAX(0,MIN(1,(2033-Assumptions!$B$6-$H$10)-1+Assumptions!$B$22))*'Benefits Build'!$E$18*$C$10*$D$10</f>
        <v>298.08</v>
      </c>
      <c r="K64" s="111" t="n">
        <f aca="false">MAX(0,MIN(1,(2034-Assumptions!$B$6-$H$10)-1+Assumptions!$B$22))*'Benefits Build'!$E$18*$C$10*$D$10</f>
        <v>298.08</v>
      </c>
      <c r="L64" s="111" t="n">
        <f aca="false">MAX(0,MIN(1,(2035-Assumptions!$B$6-$H$10)-1+Assumptions!$B$22))*'Benefits Build'!$E$18*$C$10*$D$10</f>
        <v>298.08</v>
      </c>
    </row>
    <row r="65" customFormat="false" ht="11.25" hidden="false" customHeight="true" outlineLevel="0" collapsed="false">
      <c r="B65" s="110" t="s">
        <v>292</v>
      </c>
      <c r="C65" s="111" t="n">
        <f aca="false">MAX(0,MIN(1,(2026-Assumptions!$B$6-$H$10)-1+Assumptions!$B$22))*('Benefits Build'!$I$10*$E$10+'Benefits Build'!$E$27-('Costs &amp; Capex'!$E$22-'Costs &amp; Capex'!$E$18))-IF(2026&gt;=2028,'Costs &amp; Capex'!$E$18,0)</f>
        <v>0</v>
      </c>
      <c r="D65" s="111" t="n">
        <f aca="false">MAX(0,MIN(1,(2027-Assumptions!$B$6-$H$10)-1+Assumptions!$B$22))*('Benefits Build'!$I$10*$E$10+'Benefits Build'!$E$27-('Costs &amp; Capex'!$E$22-'Costs &amp; Capex'!$E$18))-IF(2027&gt;=2028,'Costs &amp; Capex'!$E$18,0)</f>
        <v>31.7</v>
      </c>
      <c r="E65" s="111" t="n">
        <f aca="false">MAX(0,MIN(1,(2028-Assumptions!$B$6-$H$10)-1+Assumptions!$B$22))*('Benefits Build'!$I$10*$E$10+'Benefits Build'!$E$27-('Costs &amp; Capex'!$E$22-'Costs &amp; Capex'!$E$18))-IF(2028&gt;=2028,'Costs &amp; Capex'!$E$18,0)</f>
        <v>25.4</v>
      </c>
      <c r="F65" s="111" t="n">
        <f aca="false">MAX(0,MIN(1,(2029-Assumptions!$B$6-$H$10)-1+Assumptions!$B$22))*('Benefits Build'!$I$10*$E$10+'Benefits Build'!$E$27-('Costs &amp; Capex'!$E$22-'Costs &amp; Capex'!$E$18))-IF(2029&gt;=2028,'Costs &amp; Capex'!$E$18,0)</f>
        <v>25.4</v>
      </c>
      <c r="G65" s="111" t="n">
        <f aca="false">MAX(0,MIN(1,(2030-Assumptions!$B$6-$H$10)-1+Assumptions!$B$22))*('Benefits Build'!$I$10*$E$10+'Benefits Build'!$E$27-('Costs &amp; Capex'!$E$22-'Costs &amp; Capex'!$E$18))-IF(2030&gt;=2028,'Costs &amp; Capex'!$E$18,0)</f>
        <v>25.4</v>
      </c>
      <c r="H65" s="111" t="n">
        <f aca="false">MAX(0,MIN(1,(2031-Assumptions!$B$6-$H$10)-1+Assumptions!$B$22))*('Benefits Build'!$I$10*$E$10+'Benefits Build'!$E$27-('Costs &amp; Capex'!$E$22-'Costs &amp; Capex'!$E$18))-IF(2031&gt;=2028,'Costs &amp; Capex'!$E$18,0)</f>
        <v>25.4</v>
      </c>
      <c r="I65" s="111" t="n">
        <f aca="false">MAX(0,MIN(1,(2032-Assumptions!$B$6-$H$10)-1+Assumptions!$B$22))*('Benefits Build'!$I$10*$E$10+'Benefits Build'!$E$27-('Costs &amp; Capex'!$E$22-'Costs &amp; Capex'!$E$18))-IF(2032&gt;=2028,'Costs &amp; Capex'!$E$18,0)</f>
        <v>25.4</v>
      </c>
      <c r="J65" s="111" t="n">
        <f aca="false">MAX(0,MIN(1,(2033-Assumptions!$B$6-$H$10)-1+Assumptions!$B$22))*('Benefits Build'!$I$10*$E$10+'Benefits Build'!$E$27-('Costs &amp; Capex'!$E$22-'Costs &amp; Capex'!$E$18))-IF(2033&gt;=2028,'Costs &amp; Capex'!$E$18,0)</f>
        <v>25.4</v>
      </c>
      <c r="K65" s="111" t="n">
        <f aca="false">MAX(0,MIN(1,(2034-Assumptions!$B$6-$H$10)-1+Assumptions!$B$22))*('Benefits Build'!$I$10*$E$10+'Benefits Build'!$E$27-('Costs &amp; Capex'!$E$22-'Costs &amp; Capex'!$E$18))-IF(2034&gt;=2028,'Costs &amp; Capex'!$E$18,0)</f>
        <v>25.4</v>
      </c>
      <c r="L65" s="111" t="n">
        <f aca="false">MAX(0,MIN(1,(2035-Assumptions!$B$6-$H$10)-1+Assumptions!$B$22))*('Benefits Build'!$I$10*$E$10+'Benefits Build'!$E$27-('Costs &amp; Capex'!$E$22-'Costs &amp; Capex'!$E$18))-IF(2035&gt;=2028,'Costs &amp; Capex'!$E$18,0)</f>
        <v>25.4</v>
      </c>
    </row>
    <row r="66" customFormat="false" ht="11.25" hidden="false" customHeight="true" outlineLevel="0" collapsed="false">
      <c r="B66" s="110" t="s">
        <v>293</v>
      </c>
      <c r="C66" s="111" t="n">
        <f aca="false">-((C64+C65)-IF(AND(2026&gt;=2027,2026&lt;=2027+'Costs &amp; Capex'!$C$26-1),'Costs &amp; Capex'!$C$27*$F$10,0))*Assumptions!$B$23</f>
        <v>-0</v>
      </c>
      <c r="D66" s="111" t="n">
        <f aca="false">-((D64+D65)-IF(AND(2027&gt;=2027,2027&lt;=2027+'Costs &amp; Capex'!$C$26-1),'Costs &amp; Capex'!$C$27*$F$10,0))*Assumptions!$B$23</f>
        <v>0.173399999999996</v>
      </c>
      <c r="E66" s="111" t="n">
        <f aca="false">-((E64+E65)-IF(AND(2028&gt;=2027,2028&lt;=2027+'Costs &amp; Capex'!$C$26-1),'Costs &amp; Capex'!$C$27*$F$10,0))*Assumptions!$B$23</f>
        <v>-12.6732</v>
      </c>
      <c r="F66" s="111" t="n">
        <f aca="false">-((F64+F65)-IF(AND(2029&gt;=2027,2029&lt;=2027+'Costs &amp; Capex'!$C$26-1),'Costs &amp; Capex'!$C$27*$F$10,0))*Assumptions!$B$23</f>
        <v>-12.6732</v>
      </c>
      <c r="G66" s="111" t="n">
        <f aca="false">-((G64+G65)-IF(AND(2030&gt;=2027,2030&lt;=2027+'Costs &amp; Capex'!$C$26-1),'Costs &amp; Capex'!$C$27*$F$10,0))*Assumptions!$B$23</f>
        <v>-12.6732</v>
      </c>
      <c r="H66" s="111" t="n">
        <f aca="false">-((H64+H65)-IF(AND(2031&gt;=2027,2031&lt;=2027+'Costs &amp; Capex'!$C$26-1),'Costs &amp; Capex'!$C$27*$F$10,0))*Assumptions!$B$23</f>
        <v>-12.6732</v>
      </c>
      <c r="I66" s="111" t="n">
        <f aca="false">-((I64+I65)-IF(AND(2032&gt;=2027,2032&lt;=2027+'Costs &amp; Capex'!$C$26-1),'Costs &amp; Capex'!$C$27*$F$10,0))*Assumptions!$B$23</f>
        <v>-12.6732</v>
      </c>
      <c r="J66" s="111" t="n">
        <f aca="false">-((J64+J65)-IF(AND(2033&gt;=2027,2033&lt;=2027+'Costs &amp; Capex'!$C$26-1),'Costs &amp; Capex'!$C$27*$F$10,0))*Assumptions!$B$23</f>
        <v>-12.6732</v>
      </c>
      <c r="K66" s="111" t="n">
        <f aca="false">-((K64+K65)-IF(AND(2034&gt;=2027,2034&lt;=2027+'Costs &amp; Capex'!$C$26-1),'Costs &amp; Capex'!$C$27*$F$10,0))*Assumptions!$B$23</f>
        <v>-12.6732</v>
      </c>
      <c r="L66" s="111" t="n">
        <f aca="false">-((L64+L65)-IF(AND(2035&gt;=2027,2035&lt;=2027+'Costs &amp; Capex'!$C$26-1),'Costs &amp; Capex'!$C$27*$F$10,0))*Assumptions!$B$23</f>
        <v>-12.6732</v>
      </c>
    </row>
    <row r="67" customFormat="false" ht="11.25" hidden="false" customHeight="true" outlineLevel="0" collapsed="false">
      <c r="B67" s="110" t="s">
        <v>294</v>
      </c>
      <c r="C67" s="111" t="n">
        <f aca="false">-SUMIFS('Costs &amp; Capex'!$C$6:$C$12,'Costs &amp; Capex'!$E$6:$E$12,2026)*$F$10-IF(2026=Assumptions!$B$26,Assumptions!$B$25,0)+IF(2026=2035,Assumptions!$B$27*$F$10,0)-IF(2026=2027,Assumptions!$B$24,0)+IF(2026=2035,Assumptions!$B$24,0)</f>
        <v>-1755</v>
      </c>
      <c r="D67" s="111" t="n">
        <f aca="false">-SUMIFS('Costs &amp; Capex'!$C$6:$C$12,'Costs &amp; Capex'!$E$6:$E$12,2027)*$F$10-IF(2027=Assumptions!$B$26,Assumptions!$B$25,0)+IF(2027=2035,Assumptions!$B$27*$F$10,0)-IF(2027=2027,Assumptions!$B$24,0)+IF(2027=2035,Assumptions!$B$24,0)</f>
        <v>-170</v>
      </c>
      <c r="E67" s="111" t="n">
        <f aca="false">-SUMIFS('Costs &amp; Capex'!$C$6:$C$12,'Costs &amp; Capex'!$E$6:$E$12,2028)*$F$10-IF(2028=Assumptions!$B$26,Assumptions!$B$25,0)+IF(2028=2035,Assumptions!$B$27*$F$10,0)-IF(2028=2027,Assumptions!$B$24,0)+IF(2028=2035,Assumptions!$B$24,0)</f>
        <v>0</v>
      </c>
      <c r="F67" s="111" t="n">
        <f aca="false">-SUMIFS('Costs &amp; Capex'!$C$6:$C$12,'Costs &amp; Capex'!$E$6:$E$12,2029)*$F$10-IF(2029=Assumptions!$B$26,Assumptions!$B$25,0)+IF(2029=2035,Assumptions!$B$27*$F$10,0)-IF(2029=2027,Assumptions!$B$24,0)+IF(2029=2035,Assumptions!$B$24,0)</f>
        <v>0</v>
      </c>
      <c r="G67" s="111" t="n">
        <f aca="false">-SUMIFS('Costs &amp; Capex'!$C$6:$C$12,'Costs &amp; Capex'!$E$6:$E$12,2030)*$F$10-IF(2030=Assumptions!$B$26,Assumptions!$B$25,0)+IF(2030=2035,Assumptions!$B$27*$F$10,0)-IF(2030=2027,Assumptions!$B$24,0)+IF(2030=2035,Assumptions!$B$24,0)</f>
        <v>0</v>
      </c>
      <c r="H67" s="111" t="n">
        <f aca="false">-SUMIFS('Costs &amp; Capex'!$C$6:$C$12,'Costs &amp; Capex'!$E$6:$E$12,2031)*$F$10-IF(2031=Assumptions!$B$26,Assumptions!$B$25,0)+IF(2031=2035,Assumptions!$B$27*$F$10,0)-IF(2031=2027,Assumptions!$B$24,0)+IF(2031=2035,Assumptions!$B$24,0)</f>
        <v>-95</v>
      </c>
      <c r="I67" s="111" t="n">
        <f aca="false">-SUMIFS('Costs &amp; Capex'!$C$6:$C$12,'Costs &amp; Capex'!$E$6:$E$12,2032)*$F$10-IF(2032=Assumptions!$B$26,Assumptions!$B$25,0)+IF(2032=2035,Assumptions!$B$27*$F$10,0)-IF(2032=2027,Assumptions!$B$24,0)+IF(2032=2035,Assumptions!$B$24,0)</f>
        <v>0</v>
      </c>
      <c r="J67" s="111" t="n">
        <f aca="false">-SUMIFS('Costs &amp; Capex'!$C$6:$C$12,'Costs &amp; Capex'!$E$6:$E$12,2033)*$F$10-IF(2033=Assumptions!$B$26,Assumptions!$B$25,0)+IF(2033=2035,Assumptions!$B$27*$F$10,0)-IF(2033=2027,Assumptions!$B$24,0)+IF(2033=2035,Assumptions!$B$24,0)</f>
        <v>0</v>
      </c>
      <c r="K67" s="111" t="n">
        <f aca="false">-SUMIFS('Costs &amp; Capex'!$C$6:$C$12,'Costs &amp; Capex'!$E$6:$E$12,2034)*$F$10-IF(2034=Assumptions!$B$26,Assumptions!$B$25,0)+IF(2034=2035,Assumptions!$B$27*$F$10,0)-IF(2034=2027,Assumptions!$B$24,0)+IF(2034=2035,Assumptions!$B$24,0)</f>
        <v>0</v>
      </c>
      <c r="L67" s="111" t="n">
        <f aca="false">-SUMIFS('Costs &amp; Capex'!$C$6:$C$12,'Costs &amp; Capex'!$E$6:$E$12,2035)*$F$10-IF(2035=Assumptions!$B$26,Assumptions!$B$25,0)+IF(2035=2035,Assumptions!$B$27*$F$10,0)-IF(2035=2027,Assumptions!$B$24,0)+IF(2035=2035,Assumptions!$B$24,0)</f>
        <v>281</v>
      </c>
    </row>
    <row r="68" customFormat="false" ht="11.25" hidden="false" customHeight="true" outlineLevel="0" collapsed="false">
      <c r="B68" s="110" t="s">
        <v>112</v>
      </c>
      <c r="C68" s="111" t="n">
        <f aca="false">SUM(C64:C67)</f>
        <v>-1755</v>
      </c>
      <c r="D68" s="111" t="n">
        <f aca="false">SUM(D64:D67)</f>
        <v>10.9134</v>
      </c>
      <c r="E68" s="111" t="n">
        <f aca="false">SUM(E64:E67)</f>
        <v>310.8068</v>
      </c>
      <c r="F68" s="111" t="n">
        <f aca="false">SUM(F64:F67)</f>
        <v>310.8068</v>
      </c>
      <c r="G68" s="111" t="n">
        <f aca="false">SUM(G64:G67)</f>
        <v>310.8068</v>
      </c>
      <c r="H68" s="111" t="n">
        <f aca="false">SUM(H64:H67)</f>
        <v>215.8068</v>
      </c>
      <c r="I68" s="111" t="n">
        <f aca="false">SUM(I64:I67)</f>
        <v>310.8068</v>
      </c>
      <c r="J68" s="111" t="n">
        <f aca="false">SUM(J64:J67)</f>
        <v>310.8068</v>
      </c>
      <c r="K68" s="111" t="n">
        <f aca="false">SUM(K64:K67)</f>
        <v>310.8068</v>
      </c>
      <c r="L68" s="111" t="n">
        <f aca="false">SUM(L64:L67)</f>
        <v>591.8068</v>
      </c>
    </row>
    <row r="69" customFormat="false" ht="11.25" hidden="false" customHeight="true" outlineLevel="0" collapsed="false">
      <c r="B69" s="110" t="s">
        <v>114</v>
      </c>
      <c r="C69" s="112" t="n">
        <f aca="false">1/(1+$G$10)^Appraisal!B$6</f>
        <v>0.950443247520335</v>
      </c>
      <c r="D69" s="112" t="n">
        <f aca="false">1/(1+$G$10)^Appraisal!C$6</f>
        <v>0.85857565268323</v>
      </c>
      <c r="E69" s="112" t="n">
        <f aca="false">1/(1+$G$10)^Appraisal!D$6</f>
        <v>0.775587762134805</v>
      </c>
      <c r="F69" s="112" t="n">
        <f aca="false">1/(1+$G$10)^Appraisal!E$6</f>
        <v>0.700621284674621</v>
      </c>
      <c r="G69" s="112" t="n">
        <f aca="false">1/(1+$G$10)^Appraisal!F$6</f>
        <v>0.632900889498303</v>
      </c>
      <c r="H69" s="112" t="n">
        <f aca="false">1/(1+$G$10)^Appraisal!G$6</f>
        <v>0.571726187442008</v>
      </c>
      <c r="I69" s="112" t="n">
        <f aca="false">1/(1+$G$10)^Appraisal!H$6</f>
        <v>0.51646448730082</v>
      </c>
      <c r="J69" s="112" t="n">
        <f aca="false">1/(1+$G$10)^Appraisal!I$6</f>
        <v>0.466544252304264</v>
      </c>
      <c r="K69" s="112" t="n">
        <f aca="false">1/(1+$G$10)^Appraisal!J$6</f>
        <v>0.421449189073409</v>
      </c>
      <c r="L69" s="112" t="n">
        <f aca="false">1/(1+$G$10)^Appraisal!K$6</f>
        <v>0.380712907925392</v>
      </c>
    </row>
    <row r="70" customFormat="false" ht="11.25" hidden="false" customHeight="true" outlineLevel="0" collapsed="false">
      <c r="B70" s="113" t="s">
        <v>115</v>
      </c>
      <c r="C70" s="114" t="n">
        <f aca="false">C68*C69</f>
        <v>-1668.02789939819</v>
      </c>
      <c r="D70" s="114" t="n">
        <f aca="false">D68*D69</f>
        <v>9.36997952799318</v>
      </c>
      <c r="E70" s="114" t="n">
        <f aca="false">E68*E69</f>
        <v>241.05795046828</v>
      </c>
      <c r="F70" s="114" t="n">
        <f aca="false">F68*F69</f>
        <v>217.757859501608</v>
      </c>
      <c r="G70" s="114" t="n">
        <f aca="false">G68*G69</f>
        <v>196.709900182121</v>
      </c>
      <c r="H70" s="114" t="n">
        <f aca="false">H68*H69</f>
        <v>123.38239898806</v>
      </c>
      <c r="I70" s="114" t="n">
        <f aca="false">I68*I69</f>
        <v>160.520674611609</v>
      </c>
      <c r="J70" s="114" t="n">
        <f aca="false">J68*J69</f>
        <v>145.005126117081</v>
      </c>
      <c r="K70" s="114" t="n">
        <f aca="false">K68*K69</f>
        <v>130.989273818501</v>
      </c>
      <c r="L70" s="114" t="n">
        <f aca="false">L68*L69</f>
        <v>225.308487758021</v>
      </c>
    </row>
    <row r="72" customFormat="false" ht="13.5" hidden="false" customHeight="true" outlineLevel="0" collapsed="false">
      <c r="A72" s="107" t="s">
        <v>299</v>
      </c>
      <c r="B72" s="107"/>
      <c r="C72" s="107"/>
      <c r="D72" s="107"/>
      <c r="E72" s="107"/>
      <c r="F72" s="107"/>
      <c r="G72" s="107"/>
      <c r="H72" s="107"/>
      <c r="I72" s="107"/>
      <c r="J72" s="107"/>
      <c r="K72" s="107"/>
    </row>
    <row r="73" customFormat="false" ht="15" hidden="false" customHeight="false" outlineLevel="0" collapsed="false">
      <c r="B73" s="108" t="s">
        <v>201</v>
      </c>
      <c r="C73" s="109" t="s">
        <v>84</v>
      </c>
      <c r="D73" s="109" t="s">
        <v>85</v>
      </c>
      <c r="E73" s="109" t="s">
        <v>86</v>
      </c>
      <c r="F73" s="109" t="s">
        <v>87</v>
      </c>
      <c r="G73" s="109" t="s">
        <v>88</v>
      </c>
      <c r="H73" s="109" t="s">
        <v>89</v>
      </c>
      <c r="I73" s="109" t="s">
        <v>90</v>
      </c>
      <c r="J73" s="109" t="s">
        <v>91</v>
      </c>
      <c r="K73" s="109" t="s">
        <v>92</v>
      </c>
      <c r="L73" s="109" t="s">
        <v>93</v>
      </c>
    </row>
    <row r="74" customFormat="false" ht="11.25" hidden="false" customHeight="true" outlineLevel="0" collapsed="false">
      <c r="B74" s="110" t="s">
        <v>291</v>
      </c>
      <c r="C74" s="111" t="n">
        <f aca="false">MAX(0,MIN(1,(2026-Assumptions!$B$6-$H$11)-1+Assumptions!$B$22))*'Benefits Build'!$E$18*$C$11*$D$11</f>
        <v>0</v>
      </c>
      <c r="D74" s="111" t="n">
        <f aca="false">MAX(0,MIN(1,(2027-Assumptions!$B$6-$H$11)-1+Assumptions!$B$22))*'Benefits Build'!$E$18*$C$11*$D$11</f>
        <v>165.6</v>
      </c>
      <c r="E74" s="111" t="n">
        <f aca="false">MAX(0,MIN(1,(2028-Assumptions!$B$6-$H$11)-1+Assumptions!$B$22))*'Benefits Build'!$E$18*$C$11*$D$11</f>
        <v>331.2</v>
      </c>
      <c r="F74" s="111" t="n">
        <f aca="false">MAX(0,MIN(1,(2029-Assumptions!$B$6-$H$11)-1+Assumptions!$B$22))*'Benefits Build'!$E$18*$C$11*$D$11</f>
        <v>331.2</v>
      </c>
      <c r="G74" s="111" t="n">
        <f aca="false">MAX(0,MIN(1,(2030-Assumptions!$B$6-$H$11)-1+Assumptions!$B$22))*'Benefits Build'!$E$18*$C$11*$D$11</f>
        <v>331.2</v>
      </c>
      <c r="H74" s="111" t="n">
        <f aca="false">MAX(0,MIN(1,(2031-Assumptions!$B$6-$H$11)-1+Assumptions!$B$22))*'Benefits Build'!$E$18*$C$11*$D$11</f>
        <v>331.2</v>
      </c>
      <c r="I74" s="111" t="n">
        <f aca="false">MAX(0,MIN(1,(2032-Assumptions!$B$6-$H$11)-1+Assumptions!$B$22))*'Benefits Build'!$E$18*$C$11*$D$11</f>
        <v>331.2</v>
      </c>
      <c r="J74" s="111" t="n">
        <f aca="false">MAX(0,MIN(1,(2033-Assumptions!$B$6-$H$11)-1+Assumptions!$B$22))*'Benefits Build'!$E$18*$C$11*$D$11</f>
        <v>331.2</v>
      </c>
      <c r="K74" s="111" t="n">
        <f aca="false">MAX(0,MIN(1,(2034-Assumptions!$B$6-$H$11)-1+Assumptions!$B$22))*'Benefits Build'!$E$18*$C$11*$D$11</f>
        <v>331.2</v>
      </c>
      <c r="L74" s="111" t="n">
        <f aca="false">MAX(0,MIN(1,(2035-Assumptions!$B$6-$H$11)-1+Assumptions!$B$22))*'Benefits Build'!$E$18*$C$11*$D$11</f>
        <v>331.2</v>
      </c>
    </row>
    <row r="75" customFormat="false" ht="11.25" hidden="false" customHeight="true" outlineLevel="0" collapsed="false">
      <c r="B75" s="110" t="s">
        <v>292</v>
      </c>
      <c r="C75" s="111" t="n">
        <f aca="false">MAX(0,MIN(1,(2026-Assumptions!$B$6-$H$11)-1+Assumptions!$B$22))*('Benefits Build'!$I$10*$E$11+'Benefits Build'!$E$27-('Costs &amp; Capex'!$E$22-'Costs &amp; Capex'!$E$18))-IF(2026&gt;=2028,'Costs &amp; Capex'!$E$18,0)</f>
        <v>0</v>
      </c>
      <c r="D75" s="111" t="n">
        <f aca="false">MAX(0,MIN(1,(2027-Assumptions!$B$6-$H$11)-1+Assumptions!$B$22))*('Benefits Build'!$I$10*$E$11+'Benefits Build'!$E$27-('Costs &amp; Capex'!$E$22-'Costs &amp; Capex'!$E$18))-IF(2027&gt;=2028,'Costs &amp; Capex'!$E$18,0)</f>
        <v>19.925</v>
      </c>
      <c r="E75" s="111" t="n">
        <f aca="false">MAX(0,MIN(1,(2028-Assumptions!$B$6-$H$11)-1+Assumptions!$B$22))*('Benefits Build'!$I$10*$E$11+'Benefits Build'!$E$27-('Costs &amp; Capex'!$E$22-'Costs &amp; Capex'!$E$18))-IF(2028&gt;=2028,'Costs &amp; Capex'!$E$18,0)</f>
        <v>1.85000000000001</v>
      </c>
      <c r="F75" s="111" t="n">
        <f aca="false">MAX(0,MIN(1,(2029-Assumptions!$B$6-$H$11)-1+Assumptions!$B$22))*('Benefits Build'!$I$10*$E$11+'Benefits Build'!$E$27-('Costs &amp; Capex'!$E$22-'Costs &amp; Capex'!$E$18))-IF(2029&gt;=2028,'Costs &amp; Capex'!$E$18,0)</f>
        <v>1.85000000000001</v>
      </c>
      <c r="G75" s="111" t="n">
        <f aca="false">MAX(0,MIN(1,(2030-Assumptions!$B$6-$H$11)-1+Assumptions!$B$22))*('Benefits Build'!$I$10*$E$11+'Benefits Build'!$E$27-('Costs &amp; Capex'!$E$22-'Costs &amp; Capex'!$E$18))-IF(2030&gt;=2028,'Costs &amp; Capex'!$E$18,0)</f>
        <v>1.85000000000001</v>
      </c>
      <c r="H75" s="111" t="n">
        <f aca="false">MAX(0,MIN(1,(2031-Assumptions!$B$6-$H$11)-1+Assumptions!$B$22))*('Benefits Build'!$I$10*$E$11+'Benefits Build'!$E$27-('Costs &amp; Capex'!$E$22-'Costs &amp; Capex'!$E$18))-IF(2031&gt;=2028,'Costs &amp; Capex'!$E$18,0)</f>
        <v>1.85000000000001</v>
      </c>
      <c r="I75" s="111" t="n">
        <f aca="false">MAX(0,MIN(1,(2032-Assumptions!$B$6-$H$11)-1+Assumptions!$B$22))*('Benefits Build'!$I$10*$E$11+'Benefits Build'!$E$27-('Costs &amp; Capex'!$E$22-'Costs &amp; Capex'!$E$18))-IF(2032&gt;=2028,'Costs &amp; Capex'!$E$18,0)</f>
        <v>1.85000000000001</v>
      </c>
      <c r="J75" s="111" t="n">
        <f aca="false">MAX(0,MIN(1,(2033-Assumptions!$B$6-$H$11)-1+Assumptions!$B$22))*('Benefits Build'!$I$10*$E$11+'Benefits Build'!$E$27-('Costs &amp; Capex'!$E$22-'Costs &amp; Capex'!$E$18))-IF(2033&gt;=2028,'Costs &amp; Capex'!$E$18,0)</f>
        <v>1.85000000000001</v>
      </c>
      <c r="K75" s="111" t="n">
        <f aca="false">MAX(0,MIN(1,(2034-Assumptions!$B$6-$H$11)-1+Assumptions!$B$22))*('Benefits Build'!$I$10*$E$11+'Benefits Build'!$E$27-('Costs &amp; Capex'!$E$22-'Costs &amp; Capex'!$E$18))-IF(2034&gt;=2028,'Costs &amp; Capex'!$E$18,0)</f>
        <v>1.85000000000001</v>
      </c>
      <c r="L75" s="111" t="n">
        <f aca="false">MAX(0,MIN(1,(2035-Assumptions!$B$6-$H$11)-1+Assumptions!$B$22))*('Benefits Build'!$I$10*$E$11+'Benefits Build'!$E$27-('Costs &amp; Capex'!$E$22-'Costs &amp; Capex'!$E$18))-IF(2035&gt;=2028,'Costs &amp; Capex'!$E$18,0)</f>
        <v>1.85000000000001</v>
      </c>
    </row>
    <row r="76" customFormat="false" ht="11.25" hidden="false" customHeight="true" outlineLevel="0" collapsed="false">
      <c r="B76" s="110" t="s">
        <v>293</v>
      </c>
      <c r="C76" s="111" t="n">
        <f aca="false">-((C74+C75)-IF(AND(2026&gt;=2027,2026&lt;=2027+'Costs &amp; Capex'!$C$26-1),'Costs &amp; Capex'!$C$27*$F$11,0))*Assumptions!$B$23</f>
        <v>-0</v>
      </c>
      <c r="D76" s="111" t="n">
        <f aca="false">-((D74+D75)-IF(AND(2027&gt;=2027,2027&lt;=2027+'Costs &amp; Capex'!$C$26-1),'Costs &amp; Capex'!$C$27*$F$11,0))*Assumptions!$B$23</f>
        <v>-0.257250000000004</v>
      </c>
      <c r="E76" s="111" t="n">
        <f aca="false">-((E74+E75)-IF(AND(2028&gt;=2027,2028&lt;=2027+'Costs &amp; Capex'!$C$26-1),'Costs &amp; Capex'!$C$27*$F$11,0))*Assumptions!$B$23</f>
        <v>-13.5345</v>
      </c>
      <c r="F76" s="111" t="n">
        <f aca="false">-((F74+F75)-IF(AND(2029&gt;=2027,2029&lt;=2027+'Costs &amp; Capex'!$C$26-1),'Costs &amp; Capex'!$C$27*$F$11,0))*Assumptions!$B$23</f>
        <v>-13.5345</v>
      </c>
      <c r="G76" s="111" t="n">
        <f aca="false">-((G74+G75)-IF(AND(2030&gt;=2027,2030&lt;=2027+'Costs &amp; Capex'!$C$26-1),'Costs &amp; Capex'!$C$27*$F$11,0))*Assumptions!$B$23</f>
        <v>-13.5345</v>
      </c>
      <c r="H76" s="111" t="n">
        <f aca="false">-((H74+H75)-IF(AND(2031&gt;=2027,2031&lt;=2027+'Costs &amp; Capex'!$C$26-1),'Costs &amp; Capex'!$C$27*$F$11,0))*Assumptions!$B$23</f>
        <v>-13.5345</v>
      </c>
      <c r="I76" s="111" t="n">
        <f aca="false">-((I74+I75)-IF(AND(2032&gt;=2027,2032&lt;=2027+'Costs &amp; Capex'!$C$26-1),'Costs &amp; Capex'!$C$27*$F$11,0))*Assumptions!$B$23</f>
        <v>-13.5345</v>
      </c>
      <c r="J76" s="111" t="n">
        <f aca="false">-((J74+J75)-IF(AND(2033&gt;=2027,2033&lt;=2027+'Costs &amp; Capex'!$C$26-1),'Costs &amp; Capex'!$C$27*$F$11,0))*Assumptions!$B$23</f>
        <v>-13.5345</v>
      </c>
      <c r="K76" s="111" t="n">
        <f aca="false">-((K74+K75)-IF(AND(2034&gt;=2027,2034&lt;=2027+'Costs &amp; Capex'!$C$26-1),'Costs &amp; Capex'!$C$27*$F$11,0))*Assumptions!$B$23</f>
        <v>-13.5345</v>
      </c>
      <c r="L76" s="111" t="n">
        <f aca="false">-((L74+L75)-IF(AND(2035&gt;=2027,2035&lt;=2027+'Costs &amp; Capex'!$C$26-1),'Costs &amp; Capex'!$C$27*$F$11,0))*Assumptions!$B$23</f>
        <v>-13.5345</v>
      </c>
    </row>
    <row r="77" customFormat="false" ht="11.25" hidden="false" customHeight="true" outlineLevel="0" collapsed="false">
      <c r="B77" s="110" t="s">
        <v>294</v>
      </c>
      <c r="C77" s="111" t="n">
        <f aca="false">-SUMIFS('Costs &amp; Capex'!$C$6:$C$12,'Costs &amp; Capex'!$E$6:$E$12,2026)*$F$11-IF(2026=Assumptions!$B$26,Assumptions!$B$25,0)+IF(2026=2035,Assumptions!$B$27*$F$11,0)-IF(2026=2027,Assumptions!$B$24,0)+IF(2026=2035,Assumptions!$B$24,0)</f>
        <v>-1755</v>
      </c>
      <c r="D77" s="111" t="n">
        <f aca="false">-SUMIFS('Costs &amp; Capex'!$C$6:$C$12,'Costs &amp; Capex'!$E$6:$E$12,2027)*$F$11-IF(2027=Assumptions!$B$26,Assumptions!$B$25,0)+IF(2027=2035,Assumptions!$B$27*$F$11,0)-IF(2027=2027,Assumptions!$B$24,0)+IF(2027=2035,Assumptions!$B$24,0)</f>
        <v>-170</v>
      </c>
      <c r="E77" s="111" t="n">
        <f aca="false">-SUMIFS('Costs &amp; Capex'!$C$6:$C$12,'Costs &amp; Capex'!$E$6:$E$12,2028)*$F$11-IF(2028=Assumptions!$B$26,Assumptions!$B$25,0)+IF(2028=2035,Assumptions!$B$27*$F$11,0)-IF(2028=2027,Assumptions!$B$24,0)+IF(2028=2035,Assumptions!$B$24,0)</f>
        <v>0</v>
      </c>
      <c r="F77" s="111" t="n">
        <f aca="false">-SUMIFS('Costs &amp; Capex'!$C$6:$C$12,'Costs &amp; Capex'!$E$6:$E$12,2029)*$F$11-IF(2029=Assumptions!$B$26,Assumptions!$B$25,0)+IF(2029=2035,Assumptions!$B$27*$F$11,0)-IF(2029=2027,Assumptions!$B$24,0)+IF(2029=2035,Assumptions!$B$24,0)</f>
        <v>0</v>
      </c>
      <c r="G77" s="111" t="n">
        <f aca="false">-SUMIFS('Costs &amp; Capex'!$C$6:$C$12,'Costs &amp; Capex'!$E$6:$E$12,2030)*$F$11-IF(2030=Assumptions!$B$26,Assumptions!$B$25,0)+IF(2030=2035,Assumptions!$B$27*$F$11,0)-IF(2030=2027,Assumptions!$B$24,0)+IF(2030=2035,Assumptions!$B$24,0)</f>
        <v>0</v>
      </c>
      <c r="H77" s="111" t="n">
        <f aca="false">-SUMIFS('Costs &amp; Capex'!$C$6:$C$12,'Costs &amp; Capex'!$E$6:$E$12,2031)*$F$11-IF(2031=Assumptions!$B$26,Assumptions!$B$25,0)+IF(2031=2035,Assumptions!$B$27*$F$11,0)-IF(2031=2027,Assumptions!$B$24,0)+IF(2031=2035,Assumptions!$B$24,0)</f>
        <v>-95</v>
      </c>
      <c r="I77" s="111" t="n">
        <f aca="false">-SUMIFS('Costs &amp; Capex'!$C$6:$C$12,'Costs &amp; Capex'!$E$6:$E$12,2032)*$F$11-IF(2032=Assumptions!$B$26,Assumptions!$B$25,0)+IF(2032=2035,Assumptions!$B$27*$F$11,0)-IF(2032=2027,Assumptions!$B$24,0)+IF(2032=2035,Assumptions!$B$24,0)</f>
        <v>0</v>
      </c>
      <c r="J77" s="111" t="n">
        <f aca="false">-SUMIFS('Costs &amp; Capex'!$C$6:$C$12,'Costs &amp; Capex'!$E$6:$E$12,2033)*$F$11-IF(2033=Assumptions!$B$26,Assumptions!$B$25,0)+IF(2033=2035,Assumptions!$B$27*$F$11,0)-IF(2033=2027,Assumptions!$B$24,0)+IF(2033=2035,Assumptions!$B$24,0)</f>
        <v>0</v>
      </c>
      <c r="K77" s="111" t="n">
        <f aca="false">-SUMIFS('Costs &amp; Capex'!$C$6:$C$12,'Costs &amp; Capex'!$E$6:$E$12,2034)*$F$11-IF(2034=Assumptions!$B$26,Assumptions!$B$25,0)+IF(2034=2035,Assumptions!$B$27*$F$11,0)-IF(2034=2027,Assumptions!$B$24,0)+IF(2034=2035,Assumptions!$B$24,0)</f>
        <v>0</v>
      </c>
      <c r="L77" s="111" t="n">
        <f aca="false">-SUMIFS('Costs &amp; Capex'!$C$6:$C$12,'Costs &amp; Capex'!$E$6:$E$12,2035)*$F$11-IF(2035=Assumptions!$B$26,Assumptions!$B$25,0)+IF(2035=2035,Assumptions!$B$27*$F$11,0)-IF(2035=2027,Assumptions!$B$24,0)+IF(2035=2035,Assumptions!$B$24,0)</f>
        <v>281</v>
      </c>
    </row>
    <row r="78" customFormat="false" ht="11.25" hidden="false" customHeight="true" outlineLevel="0" collapsed="false">
      <c r="B78" s="110" t="s">
        <v>112</v>
      </c>
      <c r="C78" s="111" t="n">
        <f aca="false">SUM(C74:C77)</f>
        <v>-1755</v>
      </c>
      <c r="D78" s="111" t="n">
        <f aca="false">SUM(D74:D77)</f>
        <v>15.26775</v>
      </c>
      <c r="E78" s="111" t="n">
        <f aca="false">SUM(E74:E77)</f>
        <v>319.5155</v>
      </c>
      <c r="F78" s="111" t="n">
        <f aca="false">SUM(F74:F77)</f>
        <v>319.5155</v>
      </c>
      <c r="G78" s="111" t="n">
        <f aca="false">SUM(G74:G77)</f>
        <v>319.5155</v>
      </c>
      <c r="H78" s="111" t="n">
        <f aca="false">SUM(H74:H77)</f>
        <v>224.5155</v>
      </c>
      <c r="I78" s="111" t="n">
        <f aca="false">SUM(I74:I77)</f>
        <v>319.5155</v>
      </c>
      <c r="J78" s="111" t="n">
        <f aca="false">SUM(J74:J77)</f>
        <v>319.5155</v>
      </c>
      <c r="K78" s="111" t="n">
        <f aca="false">SUM(K74:K77)</f>
        <v>319.5155</v>
      </c>
      <c r="L78" s="111" t="n">
        <f aca="false">SUM(L74:L77)</f>
        <v>600.5155</v>
      </c>
    </row>
    <row r="79" customFormat="false" ht="11.25" hidden="false" customHeight="true" outlineLevel="0" collapsed="false">
      <c r="B79" s="110" t="s">
        <v>114</v>
      </c>
      <c r="C79" s="112" t="n">
        <f aca="false">1/(1+$G$11)^Appraisal!B$6</f>
        <v>0.950443247520335</v>
      </c>
      <c r="D79" s="112" t="n">
        <f aca="false">1/(1+$G$11)^Appraisal!C$6</f>
        <v>0.85857565268323</v>
      </c>
      <c r="E79" s="112" t="n">
        <f aca="false">1/(1+$G$11)^Appraisal!D$6</f>
        <v>0.775587762134805</v>
      </c>
      <c r="F79" s="112" t="n">
        <f aca="false">1/(1+$G$11)^Appraisal!E$6</f>
        <v>0.700621284674621</v>
      </c>
      <c r="G79" s="112" t="n">
        <f aca="false">1/(1+$G$11)^Appraisal!F$6</f>
        <v>0.632900889498303</v>
      </c>
      <c r="H79" s="112" t="n">
        <f aca="false">1/(1+$G$11)^Appraisal!G$6</f>
        <v>0.571726187442008</v>
      </c>
      <c r="I79" s="112" t="n">
        <f aca="false">1/(1+$G$11)^Appraisal!H$6</f>
        <v>0.51646448730082</v>
      </c>
      <c r="J79" s="112" t="n">
        <f aca="false">1/(1+$G$11)^Appraisal!I$6</f>
        <v>0.466544252304264</v>
      </c>
      <c r="K79" s="112" t="n">
        <f aca="false">1/(1+$G$11)^Appraisal!J$6</f>
        <v>0.421449189073409</v>
      </c>
      <c r="L79" s="112" t="n">
        <f aca="false">1/(1+$G$11)^Appraisal!K$6</f>
        <v>0.380712907925392</v>
      </c>
    </row>
    <row r="80" customFormat="false" ht="11.25" hidden="false" customHeight="true" outlineLevel="0" collapsed="false">
      <c r="B80" s="113" t="s">
        <v>115</v>
      </c>
      <c r="C80" s="114" t="n">
        <f aca="false">C78*C79</f>
        <v>-1668.02789939819</v>
      </c>
      <c r="D80" s="114" t="n">
        <f aca="false">D78*D79</f>
        <v>13.1085184212544</v>
      </c>
      <c r="E80" s="114" t="n">
        <f aca="false">E78*E79</f>
        <v>247.812311612384</v>
      </c>
      <c r="F80" s="114" t="n">
        <f aca="false">F78*F79</f>
        <v>223.859360083454</v>
      </c>
      <c r="G80" s="114" t="n">
        <f aca="false">G78*G79</f>
        <v>202.221644158495</v>
      </c>
      <c r="H80" s="114" t="n">
        <f aca="false">H78*H79</f>
        <v>128.361390836636</v>
      </c>
      <c r="I80" s="114" t="n">
        <f aca="false">I78*I79</f>
        <v>165.018408892165</v>
      </c>
      <c r="J80" s="114" t="n">
        <f aca="false">J78*J79</f>
        <v>149.068120047123</v>
      </c>
      <c r="K80" s="114" t="n">
        <f aca="false">K78*K79</f>
        <v>134.659548371385</v>
      </c>
      <c r="L80" s="114" t="n">
        <f aca="false">L78*L79</f>
        <v>228.624002259271</v>
      </c>
    </row>
    <row r="82" customFormat="false" ht="13.5" hidden="false" customHeight="true" outlineLevel="0" collapsed="false">
      <c r="A82" s="107" t="s">
        <v>300</v>
      </c>
      <c r="B82" s="107"/>
      <c r="C82" s="107"/>
      <c r="D82" s="107"/>
      <c r="E82" s="107"/>
      <c r="F82" s="107"/>
      <c r="G82" s="107"/>
      <c r="H82" s="107"/>
      <c r="I82" s="107"/>
      <c r="J82" s="107"/>
      <c r="K82" s="107"/>
    </row>
    <row r="83" customFormat="false" ht="15" hidden="false" customHeight="false" outlineLevel="0" collapsed="false">
      <c r="B83" s="108" t="s">
        <v>201</v>
      </c>
      <c r="C83" s="109" t="s">
        <v>84</v>
      </c>
      <c r="D83" s="109" t="s">
        <v>85</v>
      </c>
      <c r="E83" s="109" t="s">
        <v>86</v>
      </c>
      <c r="F83" s="109" t="s">
        <v>87</v>
      </c>
      <c r="G83" s="109" t="s">
        <v>88</v>
      </c>
      <c r="H83" s="109" t="s">
        <v>89</v>
      </c>
      <c r="I83" s="109" t="s">
        <v>90</v>
      </c>
      <c r="J83" s="109" t="s">
        <v>91</v>
      </c>
      <c r="K83" s="109" t="s">
        <v>92</v>
      </c>
      <c r="L83" s="109" t="s">
        <v>93</v>
      </c>
    </row>
    <row r="84" customFormat="false" ht="11.25" hidden="false" customHeight="true" outlineLevel="0" collapsed="false">
      <c r="B84" s="110" t="s">
        <v>291</v>
      </c>
      <c r="C84" s="111" t="n">
        <f aca="false">MAX(0,MIN(1,(2026-Assumptions!$B$6-$H$12)-1+Assumptions!$B$22))*'Benefits Build'!$E$18*$C$12*$D$12</f>
        <v>0</v>
      </c>
      <c r="D84" s="111" t="n">
        <f aca="false">MAX(0,MIN(1,(2027-Assumptions!$B$6-$H$12)-1+Assumptions!$B$22))*'Benefits Build'!$E$18*$C$12*$D$12</f>
        <v>165.6</v>
      </c>
      <c r="E84" s="111" t="n">
        <f aca="false">MAX(0,MIN(1,(2028-Assumptions!$B$6-$H$12)-1+Assumptions!$B$22))*'Benefits Build'!$E$18*$C$12*$D$12</f>
        <v>331.2</v>
      </c>
      <c r="F84" s="111" t="n">
        <f aca="false">MAX(0,MIN(1,(2029-Assumptions!$B$6-$H$12)-1+Assumptions!$B$22))*'Benefits Build'!$E$18*$C$12*$D$12</f>
        <v>331.2</v>
      </c>
      <c r="G84" s="111" t="n">
        <f aca="false">MAX(0,MIN(1,(2030-Assumptions!$B$6-$H$12)-1+Assumptions!$B$22))*'Benefits Build'!$E$18*$C$12*$D$12</f>
        <v>331.2</v>
      </c>
      <c r="H84" s="111" t="n">
        <f aca="false">MAX(0,MIN(1,(2031-Assumptions!$B$6-$H$12)-1+Assumptions!$B$22))*'Benefits Build'!$E$18*$C$12*$D$12</f>
        <v>331.2</v>
      </c>
      <c r="I84" s="111" t="n">
        <f aca="false">MAX(0,MIN(1,(2032-Assumptions!$B$6-$H$12)-1+Assumptions!$B$22))*'Benefits Build'!$E$18*$C$12*$D$12</f>
        <v>331.2</v>
      </c>
      <c r="J84" s="111" t="n">
        <f aca="false">MAX(0,MIN(1,(2033-Assumptions!$B$6-$H$12)-1+Assumptions!$B$22))*'Benefits Build'!$E$18*$C$12*$D$12</f>
        <v>331.2</v>
      </c>
      <c r="K84" s="111" t="n">
        <f aca="false">MAX(0,MIN(1,(2034-Assumptions!$B$6-$H$12)-1+Assumptions!$B$22))*'Benefits Build'!$E$18*$C$12*$D$12</f>
        <v>331.2</v>
      </c>
      <c r="L84" s="111" t="n">
        <f aca="false">MAX(0,MIN(1,(2035-Assumptions!$B$6-$H$12)-1+Assumptions!$B$22))*'Benefits Build'!$E$18*$C$12*$D$12</f>
        <v>331.2</v>
      </c>
    </row>
    <row r="85" customFormat="false" ht="11.25" hidden="false" customHeight="true" outlineLevel="0" collapsed="false">
      <c r="B85" s="110" t="s">
        <v>292</v>
      </c>
      <c r="C85" s="111" t="n">
        <f aca="false">MAX(0,MIN(1,(2026-Assumptions!$B$6-$H$12)-1+Assumptions!$B$22))*('Benefits Build'!$I$10*$E$12+'Benefits Build'!$E$27-('Costs &amp; Capex'!$E$22-'Costs &amp; Capex'!$E$18))-IF(2026&gt;=2028,'Costs &amp; Capex'!$E$18,0)</f>
        <v>0</v>
      </c>
      <c r="D85" s="111" t="n">
        <f aca="false">MAX(0,MIN(1,(2027-Assumptions!$B$6-$H$12)-1+Assumptions!$B$22))*('Benefits Build'!$I$10*$E$12+'Benefits Build'!$E$27-('Costs &amp; Capex'!$E$22-'Costs &amp; Capex'!$E$18))-IF(2027&gt;=2028,'Costs &amp; Capex'!$E$18,0)</f>
        <v>31.7</v>
      </c>
      <c r="E85" s="111" t="n">
        <f aca="false">MAX(0,MIN(1,(2028-Assumptions!$B$6-$H$12)-1+Assumptions!$B$22))*('Benefits Build'!$I$10*$E$12+'Benefits Build'!$E$27-('Costs &amp; Capex'!$E$22-'Costs &amp; Capex'!$E$18))-IF(2028&gt;=2028,'Costs &amp; Capex'!$E$18,0)</f>
        <v>25.4</v>
      </c>
      <c r="F85" s="111" t="n">
        <f aca="false">MAX(0,MIN(1,(2029-Assumptions!$B$6-$H$12)-1+Assumptions!$B$22))*('Benefits Build'!$I$10*$E$12+'Benefits Build'!$E$27-('Costs &amp; Capex'!$E$22-'Costs &amp; Capex'!$E$18))-IF(2029&gt;=2028,'Costs &amp; Capex'!$E$18,0)</f>
        <v>25.4</v>
      </c>
      <c r="G85" s="111" t="n">
        <f aca="false">MAX(0,MIN(1,(2030-Assumptions!$B$6-$H$12)-1+Assumptions!$B$22))*('Benefits Build'!$I$10*$E$12+'Benefits Build'!$E$27-('Costs &amp; Capex'!$E$22-'Costs &amp; Capex'!$E$18))-IF(2030&gt;=2028,'Costs &amp; Capex'!$E$18,0)</f>
        <v>25.4</v>
      </c>
      <c r="H85" s="111" t="n">
        <f aca="false">MAX(0,MIN(1,(2031-Assumptions!$B$6-$H$12)-1+Assumptions!$B$22))*('Benefits Build'!$I$10*$E$12+'Benefits Build'!$E$27-('Costs &amp; Capex'!$E$22-'Costs &amp; Capex'!$E$18))-IF(2031&gt;=2028,'Costs &amp; Capex'!$E$18,0)</f>
        <v>25.4</v>
      </c>
      <c r="I85" s="111" t="n">
        <f aca="false">MAX(0,MIN(1,(2032-Assumptions!$B$6-$H$12)-1+Assumptions!$B$22))*('Benefits Build'!$I$10*$E$12+'Benefits Build'!$E$27-('Costs &amp; Capex'!$E$22-'Costs &amp; Capex'!$E$18))-IF(2032&gt;=2028,'Costs &amp; Capex'!$E$18,0)</f>
        <v>25.4</v>
      </c>
      <c r="J85" s="111" t="n">
        <f aca="false">MAX(0,MIN(1,(2033-Assumptions!$B$6-$H$12)-1+Assumptions!$B$22))*('Benefits Build'!$I$10*$E$12+'Benefits Build'!$E$27-('Costs &amp; Capex'!$E$22-'Costs &amp; Capex'!$E$18))-IF(2033&gt;=2028,'Costs &amp; Capex'!$E$18,0)</f>
        <v>25.4</v>
      </c>
      <c r="K85" s="111" t="n">
        <f aca="false">MAX(0,MIN(1,(2034-Assumptions!$B$6-$H$12)-1+Assumptions!$B$22))*('Benefits Build'!$I$10*$E$12+'Benefits Build'!$E$27-('Costs &amp; Capex'!$E$22-'Costs &amp; Capex'!$E$18))-IF(2034&gt;=2028,'Costs &amp; Capex'!$E$18,0)</f>
        <v>25.4</v>
      </c>
      <c r="L85" s="111" t="n">
        <f aca="false">MAX(0,MIN(1,(2035-Assumptions!$B$6-$H$12)-1+Assumptions!$B$22))*('Benefits Build'!$I$10*$E$12+'Benefits Build'!$E$27-('Costs &amp; Capex'!$E$22-'Costs &amp; Capex'!$E$18))-IF(2035&gt;=2028,'Costs &amp; Capex'!$E$18,0)</f>
        <v>25.4</v>
      </c>
    </row>
    <row r="86" customFormat="false" ht="11.25" hidden="false" customHeight="true" outlineLevel="0" collapsed="false">
      <c r="B86" s="110" t="s">
        <v>293</v>
      </c>
      <c r="C86" s="111" t="n">
        <f aca="false">-((C84+C85)-IF(AND(2026&gt;=2027,2026&lt;=2027+'Costs &amp; Capex'!$C$26-1),'Costs &amp; Capex'!$C$27*$F$12,0))*Assumptions!$B$23</f>
        <v>-0</v>
      </c>
      <c r="D86" s="111" t="n">
        <f aca="false">-((D84+D85)-IF(AND(2027&gt;=2027,2027&lt;=2027+'Costs &amp; Capex'!$C$26-1),'Costs &amp; Capex'!$C$27*$F$12,0))*Assumptions!$B$23</f>
        <v>0.326999999999997</v>
      </c>
      <c r="E86" s="111" t="n">
        <f aca="false">-((E84+E85)-IF(AND(2028&gt;=2027,2028&lt;=2027+'Costs &amp; Capex'!$C$26-1),'Costs &amp; Capex'!$C$27*$F$12,0))*Assumptions!$B$23</f>
        <v>-14.01</v>
      </c>
      <c r="F86" s="111" t="n">
        <f aca="false">-((F84+F85)-IF(AND(2029&gt;=2027,2029&lt;=2027+'Costs &amp; Capex'!$C$26-1),'Costs &amp; Capex'!$C$27*$F$12,0))*Assumptions!$B$23</f>
        <v>-14.01</v>
      </c>
      <c r="G86" s="111" t="n">
        <f aca="false">-((G84+G85)-IF(AND(2030&gt;=2027,2030&lt;=2027+'Costs &amp; Capex'!$C$26-1),'Costs &amp; Capex'!$C$27*$F$12,0))*Assumptions!$B$23</f>
        <v>-14.01</v>
      </c>
      <c r="H86" s="111" t="n">
        <f aca="false">-((H84+H85)-IF(AND(2031&gt;=2027,2031&lt;=2027+'Costs &amp; Capex'!$C$26-1),'Costs &amp; Capex'!$C$27*$F$12,0))*Assumptions!$B$23</f>
        <v>-14.01</v>
      </c>
      <c r="I86" s="111" t="n">
        <f aca="false">-((I84+I85)-IF(AND(2032&gt;=2027,2032&lt;=2027+'Costs &amp; Capex'!$C$26-1),'Costs &amp; Capex'!$C$27*$F$12,0))*Assumptions!$B$23</f>
        <v>-14.01</v>
      </c>
      <c r="J86" s="111" t="n">
        <f aca="false">-((J84+J85)-IF(AND(2033&gt;=2027,2033&lt;=2027+'Costs &amp; Capex'!$C$26-1),'Costs &amp; Capex'!$C$27*$F$12,0))*Assumptions!$B$23</f>
        <v>-14.01</v>
      </c>
      <c r="K86" s="111" t="n">
        <f aca="false">-((K84+K85)-IF(AND(2034&gt;=2027,2034&lt;=2027+'Costs &amp; Capex'!$C$26-1),'Costs &amp; Capex'!$C$27*$F$12,0))*Assumptions!$B$23</f>
        <v>-14.01</v>
      </c>
      <c r="L86" s="111" t="n">
        <f aca="false">-((L84+L85)-IF(AND(2035&gt;=2027,2035&lt;=2027+'Costs &amp; Capex'!$C$26-1),'Costs &amp; Capex'!$C$27*$F$12,0))*Assumptions!$B$23</f>
        <v>-14.01</v>
      </c>
    </row>
    <row r="87" customFormat="false" ht="11.25" hidden="false" customHeight="true" outlineLevel="0" collapsed="false">
      <c r="B87" s="110" t="s">
        <v>294</v>
      </c>
      <c r="C87" s="111" t="n">
        <f aca="false">-SUMIFS('Costs &amp; Capex'!$C$6:$C$12,'Costs &amp; Capex'!$E$6:$E$12,2026)*$F$12-IF(2026=Assumptions!$B$26,Assumptions!$B$25,0)+IF(2026=2035,Assumptions!$B$27*$F$12,0)-IF(2026=2027,Assumptions!$B$24,0)+IF(2026=2035,Assumptions!$B$24,0)</f>
        <v>-1930.5</v>
      </c>
      <c r="D87" s="111" t="n">
        <f aca="false">-SUMIFS('Costs &amp; Capex'!$C$6:$C$12,'Costs &amp; Capex'!$E$6:$E$12,2027)*$F$12-IF(2027=Assumptions!$B$26,Assumptions!$B$25,0)+IF(2027=2035,Assumptions!$B$27*$F$12,0)-IF(2027=2027,Assumptions!$B$24,0)+IF(2027=2035,Assumptions!$B$24,0)</f>
        <v>-177.5</v>
      </c>
      <c r="E87" s="111" t="n">
        <f aca="false">-SUMIFS('Costs &amp; Capex'!$C$6:$C$12,'Costs &amp; Capex'!$E$6:$E$12,2028)*$F$12-IF(2028=Assumptions!$B$26,Assumptions!$B$25,0)+IF(2028=2035,Assumptions!$B$27*$F$12,0)-IF(2028=2027,Assumptions!$B$24,0)+IF(2028=2035,Assumptions!$B$24,0)</f>
        <v>0</v>
      </c>
      <c r="F87" s="111" t="n">
        <f aca="false">-SUMIFS('Costs &amp; Capex'!$C$6:$C$12,'Costs &amp; Capex'!$E$6:$E$12,2029)*$F$12-IF(2029=Assumptions!$B$26,Assumptions!$B$25,0)+IF(2029=2035,Assumptions!$B$27*$F$12,0)-IF(2029=2027,Assumptions!$B$24,0)+IF(2029=2035,Assumptions!$B$24,0)</f>
        <v>0</v>
      </c>
      <c r="G87" s="111" t="n">
        <f aca="false">-SUMIFS('Costs &amp; Capex'!$C$6:$C$12,'Costs &amp; Capex'!$E$6:$E$12,2030)*$F$12-IF(2030=Assumptions!$B$26,Assumptions!$B$25,0)+IF(2030=2035,Assumptions!$B$27*$F$12,0)-IF(2030=2027,Assumptions!$B$24,0)+IF(2030=2035,Assumptions!$B$24,0)</f>
        <v>0</v>
      </c>
      <c r="H87" s="111" t="n">
        <f aca="false">-SUMIFS('Costs &amp; Capex'!$C$6:$C$12,'Costs &amp; Capex'!$E$6:$E$12,2031)*$F$12-IF(2031=Assumptions!$B$26,Assumptions!$B$25,0)+IF(2031=2035,Assumptions!$B$27*$F$12,0)-IF(2031=2027,Assumptions!$B$24,0)+IF(2031=2035,Assumptions!$B$24,0)</f>
        <v>-95</v>
      </c>
      <c r="I87" s="111" t="n">
        <f aca="false">-SUMIFS('Costs &amp; Capex'!$C$6:$C$12,'Costs &amp; Capex'!$E$6:$E$12,2032)*$F$12-IF(2032=Assumptions!$B$26,Assumptions!$B$25,0)+IF(2032=2035,Assumptions!$B$27*$F$12,0)-IF(2032=2027,Assumptions!$B$24,0)+IF(2032=2035,Assumptions!$B$24,0)</f>
        <v>0</v>
      </c>
      <c r="J87" s="111" t="n">
        <f aca="false">-SUMIFS('Costs &amp; Capex'!$C$6:$C$12,'Costs &amp; Capex'!$E$6:$E$12,2033)*$F$12-IF(2033=Assumptions!$B$26,Assumptions!$B$25,0)+IF(2033=2035,Assumptions!$B$27*$F$12,0)-IF(2033=2027,Assumptions!$B$24,0)+IF(2033=2035,Assumptions!$B$24,0)</f>
        <v>0</v>
      </c>
      <c r="K87" s="111" t="n">
        <f aca="false">-SUMIFS('Costs &amp; Capex'!$C$6:$C$12,'Costs &amp; Capex'!$E$6:$E$12,2034)*$F$12-IF(2034=Assumptions!$B$26,Assumptions!$B$25,0)+IF(2034=2035,Assumptions!$B$27*$F$12,0)-IF(2034=2027,Assumptions!$B$24,0)+IF(2034=2035,Assumptions!$B$24,0)</f>
        <v>0</v>
      </c>
      <c r="L87" s="111" t="n">
        <f aca="false">-SUMIFS('Costs &amp; Capex'!$C$6:$C$12,'Costs &amp; Capex'!$E$6:$E$12,2035)*$F$12-IF(2035=Assumptions!$B$26,Assumptions!$B$25,0)+IF(2035=2035,Assumptions!$B$27*$F$12,0)-IF(2035=2027,Assumptions!$B$24,0)+IF(2035=2035,Assumptions!$B$24,0)</f>
        <v>299.6</v>
      </c>
    </row>
    <row r="88" customFormat="false" ht="11.25" hidden="false" customHeight="true" outlineLevel="0" collapsed="false">
      <c r="B88" s="110" t="s">
        <v>112</v>
      </c>
      <c r="C88" s="111" t="n">
        <f aca="false">SUM(C84:C87)</f>
        <v>-1930.5</v>
      </c>
      <c r="D88" s="111" t="n">
        <f aca="false">SUM(D84:D87)</f>
        <v>20.127</v>
      </c>
      <c r="E88" s="111" t="n">
        <f aca="false">SUM(E84:E87)</f>
        <v>342.59</v>
      </c>
      <c r="F88" s="111" t="n">
        <f aca="false">SUM(F84:F87)</f>
        <v>342.59</v>
      </c>
      <c r="G88" s="111" t="n">
        <f aca="false">SUM(G84:G87)</f>
        <v>342.59</v>
      </c>
      <c r="H88" s="111" t="n">
        <f aca="false">SUM(H84:H87)</f>
        <v>247.59</v>
      </c>
      <c r="I88" s="111" t="n">
        <f aca="false">SUM(I84:I87)</f>
        <v>342.59</v>
      </c>
      <c r="J88" s="111" t="n">
        <f aca="false">SUM(J84:J87)</f>
        <v>342.59</v>
      </c>
      <c r="K88" s="111" t="n">
        <f aca="false">SUM(K84:K87)</f>
        <v>342.59</v>
      </c>
      <c r="L88" s="111" t="n">
        <f aca="false">SUM(L84:L87)</f>
        <v>642.19</v>
      </c>
    </row>
    <row r="89" customFormat="false" ht="11.25" hidden="false" customHeight="true" outlineLevel="0" collapsed="false">
      <c r="B89" s="110" t="s">
        <v>114</v>
      </c>
      <c r="C89" s="112" t="n">
        <f aca="false">1/(1+$G$12)^Appraisal!B$6</f>
        <v>0.950443247520335</v>
      </c>
      <c r="D89" s="112" t="n">
        <f aca="false">1/(1+$G$12)^Appraisal!C$6</f>
        <v>0.85857565268323</v>
      </c>
      <c r="E89" s="112" t="n">
        <f aca="false">1/(1+$G$12)^Appraisal!D$6</f>
        <v>0.775587762134805</v>
      </c>
      <c r="F89" s="112" t="n">
        <f aca="false">1/(1+$G$12)^Appraisal!E$6</f>
        <v>0.700621284674621</v>
      </c>
      <c r="G89" s="112" t="n">
        <f aca="false">1/(1+$G$12)^Appraisal!F$6</f>
        <v>0.632900889498303</v>
      </c>
      <c r="H89" s="112" t="n">
        <f aca="false">1/(1+$G$12)^Appraisal!G$6</f>
        <v>0.571726187442008</v>
      </c>
      <c r="I89" s="112" t="n">
        <f aca="false">1/(1+$G$12)^Appraisal!H$6</f>
        <v>0.51646448730082</v>
      </c>
      <c r="J89" s="112" t="n">
        <f aca="false">1/(1+$G$12)^Appraisal!I$6</f>
        <v>0.466544252304264</v>
      </c>
      <c r="K89" s="112" t="n">
        <f aca="false">1/(1+$G$12)^Appraisal!J$6</f>
        <v>0.421449189073409</v>
      </c>
      <c r="L89" s="112" t="n">
        <f aca="false">1/(1+$G$12)^Appraisal!K$6</f>
        <v>0.380712907925392</v>
      </c>
    </row>
    <row r="90" customFormat="false" ht="11.25" hidden="false" customHeight="true" outlineLevel="0" collapsed="false">
      <c r="B90" s="113" t="s">
        <v>115</v>
      </c>
      <c r="C90" s="114" t="n">
        <f aca="false">C88*C89</f>
        <v>-1834.83068933801</v>
      </c>
      <c r="D90" s="114" t="n">
        <f aca="false">D88*D89</f>
        <v>17.2805521615554</v>
      </c>
      <c r="E90" s="114" t="n">
        <f aca="false">E88*E89</f>
        <v>265.708611429763</v>
      </c>
      <c r="F90" s="114" t="n">
        <f aca="false">F88*F89</f>
        <v>240.025845916678</v>
      </c>
      <c r="G90" s="114" t="n">
        <f aca="false">G88*G89</f>
        <v>216.825515733224</v>
      </c>
      <c r="H90" s="114" t="n">
        <f aca="false">H88*H89</f>
        <v>141.553686748767</v>
      </c>
      <c r="I90" s="114" t="n">
        <f aca="false">I88*I89</f>
        <v>176.935568704388</v>
      </c>
      <c r="J90" s="114" t="n">
        <f aca="false">J88*J89</f>
        <v>159.833395396918</v>
      </c>
      <c r="K90" s="114" t="n">
        <f aca="false">K88*K89</f>
        <v>144.384277684659</v>
      </c>
      <c r="L90" s="114" t="n">
        <f aca="false">L88*L89</f>
        <v>244.490022340608</v>
      </c>
    </row>
    <row r="92" customFormat="false" ht="13.5" hidden="false" customHeight="true" outlineLevel="0" collapsed="false">
      <c r="A92" s="107" t="s">
        <v>301</v>
      </c>
      <c r="B92" s="107"/>
      <c r="C92" s="107"/>
      <c r="D92" s="107"/>
      <c r="E92" s="107"/>
      <c r="F92" s="107"/>
      <c r="G92" s="107"/>
      <c r="H92" s="107"/>
      <c r="I92" s="107"/>
      <c r="J92" s="107"/>
      <c r="K92" s="107"/>
    </row>
    <row r="93" customFormat="false" ht="15" hidden="false" customHeight="false" outlineLevel="0" collapsed="false">
      <c r="B93" s="108" t="s">
        <v>201</v>
      </c>
      <c r="C93" s="109" t="s">
        <v>84</v>
      </c>
      <c r="D93" s="109" t="s">
        <v>85</v>
      </c>
      <c r="E93" s="109" t="s">
        <v>86</v>
      </c>
      <c r="F93" s="109" t="s">
        <v>87</v>
      </c>
      <c r="G93" s="109" t="s">
        <v>88</v>
      </c>
      <c r="H93" s="109" t="s">
        <v>89</v>
      </c>
      <c r="I93" s="109" t="s">
        <v>90</v>
      </c>
      <c r="J93" s="109" t="s">
        <v>91</v>
      </c>
      <c r="K93" s="109" t="s">
        <v>92</v>
      </c>
      <c r="L93" s="109" t="s">
        <v>93</v>
      </c>
    </row>
    <row r="94" customFormat="false" ht="11.25" hidden="false" customHeight="true" outlineLevel="0" collapsed="false">
      <c r="B94" s="110" t="s">
        <v>291</v>
      </c>
      <c r="C94" s="111" t="n">
        <f aca="false">MAX(0,MIN(1,(2026-Assumptions!$B$6-$H$13)-1+Assumptions!$B$22))*'Benefits Build'!$E$18*$C$13*$D$13</f>
        <v>0</v>
      </c>
      <c r="D94" s="111" t="n">
        <f aca="false">MAX(0,MIN(1,(2027-Assumptions!$B$6-$H$13)-1+Assumptions!$B$22))*'Benefits Build'!$E$18*$C$13*$D$13</f>
        <v>165.6</v>
      </c>
      <c r="E94" s="111" t="n">
        <f aca="false">MAX(0,MIN(1,(2028-Assumptions!$B$6-$H$13)-1+Assumptions!$B$22))*'Benefits Build'!$E$18*$C$13*$D$13</f>
        <v>331.2</v>
      </c>
      <c r="F94" s="111" t="n">
        <f aca="false">MAX(0,MIN(1,(2029-Assumptions!$B$6-$H$13)-1+Assumptions!$B$22))*'Benefits Build'!$E$18*$C$13*$D$13</f>
        <v>331.2</v>
      </c>
      <c r="G94" s="111" t="n">
        <f aca="false">MAX(0,MIN(1,(2030-Assumptions!$B$6-$H$13)-1+Assumptions!$B$22))*'Benefits Build'!$E$18*$C$13*$D$13</f>
        <v>331.2</v>
      </c>
      <c r="H94" s="111" t="n">
        <f aca="false">MAX(0,MIN(1,(2031-Assumptions!$B$6-$H$13)-1+Assumptions!$B$22))*'Benefits Build'!$E$18*$C$13*$D$13</f>
        <v>331.2</v>
      </c>
      <c r="I94" s="111" t="n">
        <f aca="false">MAX(0,MIN(1,(2032-Assumptions!$B$6-$H$13)-1+Assumptions!$B$22))*'Benefits Build'!$E$18*$C$13*$D$13</f>
        <v>331.2</v>
      </c>
      <c r="J94" s="111" t="n">
        <f aca="false">MAX(0,MIN(1,(2033-Assumptions!$B$6-$H$13)-1+Assumptions!$B$22))*'Benefits Build'!$E$18*$C$13*$D$13</f>
        <v>331.2</v>
      </c>
      <c r="K94" s="111" t="n">
        <f aca="false">MAX(0,MIN(1,(2034-Assumptions!$B$6-$H$13)-1+Assumptions!$B$22))*'Benefits Build'!$E$18*$C$13*$D$13</f>
        <v>331.2</v>
      </c>
      <c r="L94" s="111" t="n">
        <f aca="false">MAX(0,MIN(1,(2035-Assumptions!$B$6-$H$13)-1+Assumptions!$B$22))*'Benefits Build'!$E$18*$C$13*$D$13</f>
        <v>331.2</v>
      </c>
    </row>
    <row r="95" customFormat="false" ht="11.25" hidden="false" customHeight="true" outlineLevel="0" collapsed="false">
      <c r="B95" s="110" t="s">
        <v>292</v>
      </c>
      <c r="C95" s="111" t="n">
        <f aca="false">MAX(0,MIN(1,(2026-Assumptions!$B$6-$H$13)-1+Assumptions!$B$22))*('Benefits Build'!$I$10*$E$13+'Benefits Build'!$E$27-('Costs &amp; Capex'!$E$22-'Costs &amp; Capex'!$E$18))-IF(2026&gt;=2028,'Costs &amp; Capex'!$E$18,0)</f>
        <v>0</v>
      </c>
      <c r="D95" s="111" t="n">
        <f aca="false">MAX(0,MIN(1,(2027-Assumptions!$B$6-$H$13)-1+Assumptions!$B$22))*('Benefits Build'!$I$10*$E$13+'Benefits Build'!$E$27-('Costs &amp; Capex'!$E$22-'Costs &amp; Capex'!$E$18))-IF(2027&gt;=2028,'Costs &amp; Capex'!$E$18,0)</f>
        <v>31.7</v>
      </c>
      <c r="E95" s="111" t="n">
        <f aca="false">MAX(0,MIN(1,(2028-Assumptions!$B$6-$H$13)-1+Assumptions!$B$22))*('Benefits Build'!$I$10*$E$13+'Benefits Build'!$E$27-('Costs &amp; Capex'!$E$22-'Costs &amp; Capex'!$E$18))-IF(2028&gt;=2028,'Costs &amp; Capex'!$E$18,0)</f>
        <v>25.4</v>
      </c>
      <c r="F95" s="111" t="n">
        <f aca="false">MAX(0,MIN(1,(2029-Assumptions!$B$6-$H$13)-1+Assumptions!$B$22))*('Benefits Build'!$I$10*$E$13+'Benefits Build'!$E$27-('Costs &amp; Capex'!$E$22-'Costs &amp; Capex'!$E$18))-IF(2029&gt;=2028,'Costs &amp; Capex'!$E$18,0)</f>
        <v>25.4</v>
      </c>
      <c r="G95" s="111" t="n">
        <f aca="false">MAX(0,MIN(1,(2030-Assumptions!$B$6-$H$13)-1+Assumptions!$B$22))*('Benefits Build'!$I$10*$E$13+'Benefits Build'!$E$27-('Costs &amp; Capex'!$E$22-'Costs &amp; Capex'!$E$18))-IF(2030&gt;=2028,'Costs &amp; Capex'!$E$18,0)</f>
        <v>25.4</v>
      </c>
      <c r="H95" s="111" t="n">
        <f aca="false">MAX(0,MIN(1,(2031-Assumptions!$B$6-$H$13)-1+Assumptions!$B$22))*('Benefits Build'!$I$10*$E$13+'Benefits Build'!$E$27-('Costs &amp; Capex'!$E$22-'Costs &amp; Capex'!$E$18))-IF(2031&gt;=2028,'Costs &amp; Capex'!$E$18,0)</f>
        <v>25.4</v>
      </c>
      <c r="I95" s="111" t="n">
        <f aca="false">MAX(0,MIN(1,(2032-Assumptions!$B$6-$H$13)-1+Assumptions!$B$22))*('Benefits Build'!$I$10*$E$13+'Benefits Build'!$E$27-('Costs &amp; Capex'!$E$22-'Costs &amp; Capex'!$E$18))-IF(2032&gt;=2028,'Costs &amp; Capex'!$E$18,0)</f>
        <v>25.4</v>
      </c>
      <c r="J95" s="111" t="n">
        <f aca="false">MAX(0,MIN(1,(2033-Assumptions!$B$6-$H$13)-1+Assumptions!$B$22))*('Benefits Build'!$I$10*$E$13+'Benefits Build'!$E$27-('Costs &amp; Capex'!$E$22-'Costs &amp; Capex'!$E$18))-IF(2033&gt;=2028,'Costs &amp; Capex'!$E$18,0)</f>
        <v>25.4</v>
      </c>
      <c r="K95" s="111" t="n">
        <f aca="false">MAX(0,MIN(1,(2034-Assumptions!$B$6-$H$13)-1+Assumptions!$B$22))*('Benefits Build'!$I$10*$E$13+'Benefits Build'!$E$27-('Costs &amp; Capex'!$E$22-'Costs &amp; Capex'!$E$18))-IF(2034&gt;=2028,'Costs &amp; Capex'!$E$18,0)</f>
        <v>25.4</v>
      </c>
      <c r="L95" s="111" t="n">
        <f aca="false">MAX(0,MIN(1,(2035-Assumptions!$B$6-$H$13)-1+Assumptions!$B$22))*('Benefits Build'!$I$10*$E$13+'Benefits Build'!$E$27-('Costs &amp; Capex'!$E$22-'Costs &amp; Capex'!$E$18))-IF(2035&gt;=2028,'Costs &amp; Capex'!$E$18,0)</f>
        <v>25.4</v>
      </c>
    </row>
    <row r="96" customFormat="false" ht="11.25" hidden="false" customHeight="true" outlineLevel="0" collapsed="false">
      <c r="B96" s="110" t="s">
        <v>293</v>
      </c>
      <c r="C96" s="111" t="n">
        <f aca="false">-((C94+C95)-IF(AND(2026&gt;=2027,2026&lt;=2027+'Costs &amp; Capex'!$C$26-1),'Costs &amp; Capex'!$C$27*$F$13,0))*Assumptions!$B$23</f>
        <v>-0</v>
      </c>
      <c r="D96" s="111" t="n">
        <f aca="false">-((D94+D95)-IF(AND(2027&gt;=2027,2027&lt;=2027+'Costs &amp; Capex'!$C$26-1),'Costs &amp; Capex'!$C$27*$F$13,0))*Assumptions!$B$23</f>
        <v>-2.13900000000001</v>
      </c>
      <c r="E96" s="111" t="n">
        <f aca="false">-((E94+E95)-IF(AND(2028&gt;=2027,2028&lt;=2027+'Costs &amp; Capex'!$C$26-1),'Costs &amp; Capex'!$C$27*$F$13,0))*Assumptions!$B$23</f>
        <v>-16.476</v>
      </c>
      <c r="F96" s="111" t="n">
        <f aca="false">-((F94+F95)-IF(AND(2029&gt;=2027,2029&lt;=2027+'Costs &amp; Capex'!$C$26-1),'Costs &amp; Capex'!$C$27*$F$13,0))*Assumptions!$B$23</f>
        <v>-16.476</v>
      </c>
      <c r="G96" s="111" t="n">
        <f aca="false">-((G94+G95)-IF(AND(2030&gt;=2027,2030&lt;=2027+'Costs &amp; Capex'!$C$26-1),'Costs &amp; Capex'!$C$27*$F$13,0))*Assumptions!$B$23</f>
        <v>-16.476</v>
      </c>
      <c r="H96" s="111" t="n">
        <f aca="false">-((H94+H95)-IF(AND(2031&gt;=2027,2031&lt;=2027+'Costs &amp; Capex'!$C$26-1),'Costs &amp; Capex'!$C$27*$F$13,0))*Assumptions!$B$23</f>
        <v>-16.476</v>
      </c>
      <c r="I96" s="111" t="n">
        <f aca="false">-((I94+I95)-IF(AND(2032&gt;=2027,2032&lt;=2027+'Costs &amp; Capex'!$C$26-1),'Costs &amp; Capex'!$C$27*$F$13,0))*Assumptions!$B$23</f>
        <v>-16.476</v>
      </c>
      <c r="J96" s="111" t="n">
        <f aca="false">-((J94+J95)-IF(AND(2033&gt;=2027,2033&lt;=2027+'Costs &amp; Capex'!$C$26-1),'Costs &amp; Capex'!$C$27*$F$13,0))*Assumptions!$B$23</f>
        <v>-16.476</v>
      </c>
      <c r="K96" s="111" t="n">
        <f aca="false">-((K94+K95)-IF(AND(2034&gt;=2027,2034&lt;=2027+'Costs &amp; Capex'!$C$26-1),'Costs &amp; Capex'!$C$27*$F$13,0))*Assumptions!$B$23</f>
        <v>-16.476</v>
      </c>
      <c r="L96" s="111" t="n">
        <f aca="false">-((L94+L95)-IF(AND(2035&gt;=2027,2035&lt;=2027+'Costs &amp; Capex'!$C$26-1),'Costs &amp; Capex'!$C$27*$F$13,0))*Assumptions!$B$23</f>
        <v>-16.476</v>
      </c>
    </row>
    <row r="97" customFormat="false" ht="11.25" hidden="false" customHeight="true" outlineLevel="0" collapsed="false">
      <c r="B97" s="110" t="s">
        <v>294</v>
      </c>
      <c r="C97" s="111" t="n">
        <f aca="false">-SUMIFS('Costs &amp; Capex'!$C$6:$C$12,'Costs &amp; Capex'!$E$6:$E$12,2026)*$F$13-IF(2026=Assumptions!$B$26,Assumptions!$B$25,0)+IF(2026=2035,Assumptions!$B$27*$F$13,0)-IF(2026=2027,Assumptions!$B$24,0)+IF(2026=2035,Assumptions!$B$24,0)</f>
        <v>-1667.25</v>
      </c>
      <c r="D97" s="111" t="n">
        <f aca="false">-SUMIFS('Costs &amp; Capex'!$C$6:$C$12,'Costs &amp; Capex'!$E$6:$E$12,2027)*$F$13-IF(2027=Assumptions!$B$26,Assumptions!$B$25,0)+IF(2027=2035,Assumptions!$B$27*$F$13,0)-IF(2027=2027,Assumptions!$B$24,0)+IF(2027=2035,Assumptions!$B$24,0)</f>
        <v>-166.25</v>
      </c>
      <c r="E97" s="111" t="n">
        <f aca="false">-SUMIFS('Costs &amp; Capex'!$C$6:$C$12,'Costs &amp; Capex'!$E$6:$E$12,2028)*$F$13-IF(2028=Assumptions!$B$26,Assumptions!$B$25,0)+IF(2028=2035,Assumptions!$B$27*$F$13,0)-IF(2028=2027,Assumptions!$B$24,0)+IF(2028=2035,Assumptions!$B$24,0)</f>
        <v>0</v>
      </c>
      <c r="F97" s="111" t="n">
        <f aca="false">-SUMIFS('Costs &amp; Capex'!$C$6:$C$12,'Costs &amp; Capex'!$E$6:$E$12,2029)*$F$13-IF(2029=Assumptions!$B$26,Assumptions!$B$25,0)+IF(2029=2035,Assumptions!$B$27*$F$13,0)-IF(2029=2027,Assumptions!$B$24,0)+IF(2029=2035,Assumptions!$B$24,0)</f>
        <v>0</v>
      </c>
      <c r="G97" s="111" t="n">
        <f aca="false">-SUMIFS('Costs &amp; Capex'!$C$6:$C$12,'Costs &amp; Capex'!$E$6:$E$12,2030)*$F$13-IF(2030=Assumptions!$B$26,Assumptions!$B$25,0)+IF(2030=2035,Assumptions!$B$27*$F$13,0)-IF(2030=2027,Assumptions!$B$24,0)+IF(2030=2035,Assumptions!$B$24,0)</f>
        <v>0</v>
      </c>
      <c r="H97" s="111" t="n">
        <f aca="false">-SUMIFS('Costs &amp; Capex'!$C$6:$C$12,'Costs &amp; Capex'!$E$6:$E$12,2031)*$F$13-IF(2031=Assumptions!$B$26,Assumptions!$B$25,0)+IF(2031=2035,Assumptions!$B$27*$F$13,0)-IF(2031=2027,Assumptions!$B$24,0)+IF(2031=2035,Assumptions!$B$24,0)</f>
        <v>-95</v>
      </c>
      <c r="I97" s="111" t="n">
        <f aca="false">-SUMIFS('Costs &amp; Capex'!$C$6:$C$12,'Costs &amp; Capex'!$E$6:$E$12,2032)*$F$13-IF(2032=Assumptions!$B$26,Assumptions!$B$25,0)+IF(2032=2035,Assumptions!$B$27*$F$13,0)-IF(2032=2027,Assumptions!$B$24,0)+IF(2032=2035,Assumptions!$B$24,0)</f>
        <v>0</v>
      </c>
      <c r="J97" s="111" t="n">
        <f aca="false">-SUMIFS('Costs &amp; Capex'!$C$6:$C$12,'Costs &amp; Capex'!$E$6:$E$12,2033)*$F$13-IF(2033=Assumptions!$B$26,Assumptions!$B$25,0)+IF(2033=2035,Assumptions!$B$27*$F$13,0)-IF(2033=2027,Assumptions!$B$24,0)+IF(2033=2035,Assumptions!$B$24,0)</f>
        <v>0</v>
      </c>
      <c r="K97" s="111" t="n">
        <f aca="false">-SUMIFS('Costs &amp; Capex'!$C$6:$C$12,'Costs &amp; Capex'!$E$6:$E$12,2034)*$F$13-IF(2034=Assumptions!$B$26,Assumptions!$B$25,0)+IF(2034=2035,Assumptions!$B$27*$F$13,0)-IF(2034=2027,Assumptions!$B$24,0)+IF(2034=2035,Assumptions!$B$24,0)</f>
        <v>0</v>
      </c>
      <c r="L97" s="111" t="n">
        <f aca="false">-SUMIFS('Costs &amp; Capex'!$C$6:$C$12,'Costs &amp; Capex'!$E$6:$E$12,2035)*$F$13-IF(2035=Assumptions!$B$26,Assumptions!$B$25,0)+IF(2035=2035,Assumptions!$B$27*$F$13,0)-IF(2035=2027,Assumptions!$B$24,0)+IF(2035=2035,Assumptions!$B$24,0)</f>
        <v>271.7</v>
      </c>
    </row>
    <row r="98" customFormat="false" ht="11.25" hidden="false" customHeight="true" outlineLevel="0" collapsed="false">
      <c r="B98" s="110" t="s">
        <v>112</v>
      </c>
      <c r="C98" s="111" t="n">
        <f aca="false">SUM(C94:C97)</f>
        <v>-1667.25</v>
      </c>
      <c r="D98" s="111" t="n">
        <f aca="false">SUM(D94:D97)</f>
        <v>28.911</v>
      </c>
      <c r="E98" s="111" t="n">
        <f aca="false">SUM(E94:E97)</f>
        <v>340.124</v>
      </c>
      <c r="F98" s="111" t="n">
        <f aca="false">SUM(F94:F97)</f>
        <v>340.124</v>
      </c>
      <c r="G98" s="111" t="n">
        <f aca="false">SUM(G94:G97)</f>
        <v>340.124</v>
      </c>
      <c r="H98" s="111" t="n">
        <f aca="false">SUM(H94:H97)</f>
        <v>245.124</v>
      </c>
      <c r="I98" s="111" t="n">
        <f aca="false">SUM(I94:I97)</f>
        <v>340.124</v>
      </c>
      <c r="J98" s="111" t="n">
        <f aca="false">SUM(J94:J97)</f>
        <v>340.124</v>
      </c>
      <c r="K98" s="111" t="n">
        <f aca="false">SUM(K94:K97)</f>
        <v>340.124</v>
      </c>
      <c r="L98" s="111" t="n">
        <f aca="false">SUM(L94:L97)</f>
        <v>611.824</v>
      </c>
    </row>
    <row r="99" customFormat="false" ht="11.25" hidden="false" customHeight="true" outlineLevel="0" collapsed="false">
      <c r="B99" s="110" t="s">
        <v>114</v>
      </c>
      <c r="C99" s="112" t="n">
        <f aca="false">1/(1+$G$13)^Appraisal!B$6</f>
        <v>0.950443247520335</v>
      </c>
      <c r="D99" s="112" t="n">
        <f aca="false">1/(1+$G$13)^Appraisal!C$6</f>
        <v>0.85857565268323</v>
      </c>
      <c r="E99" s="112" t="n">
        <f aca="false">1/(1+$G$13)^Appraisal!D$6</f>
        <v>0.775587762134805</v>
      </c>
      <c r="F99" s="112" t="n">
        <f aca="false">1/(1+$G$13)^Appraisal!E$6</f>
        <v>0.700621284674621</v>
      </c>
      <c r="G99" s="112" t="n">
        <f aca="false">1/(1+$G$13)^Appraisal!F$6</f>
        <v>0.632900889498303</v>
      </c>
      <c r="H99" s="112" t="n">
        <f aca="false">1/(1+$G$13)^Appraisal!G$6</f>
        <v>0.571726187442008</v>
      </c>
      <c r="I99" s="112" t="n">
        <f aca="false">1/(1+$G$13)^Appraisal!H$6</f>
        <v>0.51646448730082</v>
      </c>
      <c r="J99" s="112" t="n">
        <f aca="false">1/(1+$G$13)^Appraisal!I$6</f>
        <v>0.466544252304264</v>
      </c>
      <c r="K99" s="112" t="n">
        <f aca="false">1/(1+$G$13)^Appraisal!J$6</f>
        <v>0.421449189073409</v>
      </c>
      <c r="L99" s="112" t="n">
        <f aca="false">1/(1+$G$13)^Appraisal!K$6</f>
        <v>0.380712907925392</v>
      </c>
    </row>
    <row r="100" customFormat="false" ht="11.25" hidden="false" customHeight="true" outlineLevel="0" collapsed="false">
      <c r="B100" s="113" t="s">
        <v>115</v>
      </c>
      <c r="C100" s="114" t="n">
        <f aca="false">C98*C99</f>
        <v>-1584.62650442828</v>
      </c>
      <c r="D100" s="114" t="n">
        <f aca="false">D98*D99</f>
        <v>24.8222806947249</v>
      </c>
      <c r="E100" s="114" t="n">
        <f aca="false">E98*E99</f>
        <v>263.796012008339</v>
      </c>
      <c r="F100" s="114" t="n">
        <f aca="false">F98*F99</f>
        <v>238.298113828671</v>
      </c>
      <c r="G100" s="114" t="n">
        <f aca="false">G98*G99</f>
        <v>215.264782139721</v>
      </c>
      <c r="H100" s="114" t="n">
        <f aca="false">H98*H99</f>
        <v>140.143809970535</v>
      </c>
      <c r="I100" s="114" t="n">
        <f aca="false">I98*I99</f>
        <v>175.661967278704</v>
      </c>
      <c r="J100" s="114" t="n">
        <f aca="false">J98*J99</f>
        <v>158.682897270735</v>
      </c>
      <c r="K100" s="114" t="n">
        <f aca="false">K98*K99</f>
        <v>143.344983984404</v>
      </c>
      <c r="L100" s="114" t="n">
        <f aca="false">L98*L99</f>
        <v>232.929294178545</v>
      </c>
    </row>
    <row r="102" customFormat="false" ht="13.5" hidden="false" customHeight="true" outlineLevel="0" collapsed="false">
      <c r="A102" s="107" t="s">
        <v>302</v>
      </c>
      <c r="B102" s="107"/>
      <c r="C102" s="107"/>
      <c r="D102" s="107"/>
      <c r="E102" s="107"/>
      <c r="F102" s="107"/>
      <c r="G102" s="107"/>
      <c r="H102" s="107"/>
      <c r="I102" s="107"/>
      <c r="J102" s="107"/>
      <c r="K102" s="107"/>
    </row>
    <row r="103" customFormat="false" ht="15" hidden="false" customHeight="false" outlineLevel="0" collapsed="false">
      <c r="B103" s="108" t="s">
        <v>201</v>
      </c>
      <c r="C103" s="109" t="s">
        <v>84</v>
      </c>
      <c r="D103" s="109" t="s">
        <v>85</v>
      </c>
      <c r="E103" s="109" t="s">
        <v>86</v>
      </c>
      <c r="F103" s="109" t="s">
        <v>87</v>
      </c>
      <c r="G103" s="109" t="s">
        <v>88</v>
      </c>
      <c r="H103" s="109" t="s">
        <v>89</v>
      </c>
      <c r="I103" s="109" t="s">
        <v>90</v>
      </c>
      <c r="J103" s="109" t="s">
        <v>91</v>
      </c>
      <c r="K103" s="109" t="s">
        <v>92</v>
      </c>
      <c r="L103" s="109" t="s">
        <v>93</v>
      </c>
    </row>
    <row r="104" customFormat="false" ht="11.25" hidden="false" customHeight="true" outlineLevel="0" collapsed="false">
      <c r="B104" s="110" t="s">
        <v>291</v>
      </c>
      <c r="C104" s="111" t="n">
        <f aca="false">MAX(0,MIN(1,(2026-Assumptions!$B$6-$H$14)-1+Assumptions!$B$22))*'Benefits Build'!$E$18*$C$14*$D$14</f>
        <v>0</v>
      </c>
      <c r="D104" s="111" t="n">
        <f aca="false">MAX(0,MIN(1,(2027-Assumptions!$B$6-$H$14)-1+Assumptions!$B$22))*'Benefits Build'!$E$18*$C$14*$D$14</f>
        <v>165.6</v>
      </c>
      <c r="E104" s="111" t="n">
        <f aca="false">MAX(0,MIN(1,(2028-Assumptions!$B$6-$H$14)-1+Assumptions!$B$22))*'Benefits Build'!$E$18*$C$14*$D$14</f>
        <v>331.2</v>
      </c>
      <c r="F104" s="111" t="n">
        <f aca="false">MAX(0,MIN(1,(2029-Assumptions!$B$6-$H$14)-1+Assumptions!$B$22))*'Benefits Build'!$E$18*$C$14*$D$14</f>
        <v>331.2</v>
      </c>
      <c r="G104" s="111" t="n">
        <f aca="false">MAX(0,MIN(1,(2030-Assumptions!$B$6-$H$14)-1+Assumptions!$B$22))*'Benefits Build'!$E$18*$C$14*$D$14</f>
        <v>331.2</v>
      </c>
      <c r="H104" s="111" t="n">
        <f aca="false">MAX(0,MIN(1,(2031-Assumptions!$B$6-$H$14)-1+Assumptions!$B$22))*'Benefits Build'!$E$18*$C$14*$D$14</f>
        <v>331.2</v>
      </c>
      <c r="I104" s="111" t="n">
        <f aca="false">MAX(0,MIN(1,(2032-Assumptions!$B$6-$H$14)-1+Assumptions!$B$22))*'Benefits Build'!$E$18*$C$14*$D$14</f>
        <v>331.2</v>
      </c>
      <c r="J104" s="111" t="n">
        <f aca="false">MAX(0,MIN(1,(2033-Assumptions!$B$6-$H$14)-1+Assumptions!$B$22))*'Benefits Build'!$E$18*$C$14*$D$14</f>
        <v>331.2</v>
      </c>
      <c r="K104" s="111" t="n">
        <f aca="false">MAX(0,MIN(1,(2034-Assumptions!$B$6-$H$14)-1+Assumptions!$B$22))*'Benefits Build'!$E$18*$C$14*$D$14</f>
        <v>331.2</v>
      </c>
      <c r="L104" s="111" t="n">
        <f aca="false">MAX(0,MIN(1,(2035-Assumptions!$B$6-$H$14)-1+Assumptions!$B$22))*'Benefits Build'!$E$18*$C$14*$D$14</f>
        <v>331.2</v>
      </c>
    </row>
    <row r="105" customFormat="false" ht="11.25" hidden="false" customHeight="true" outlineLevel="0" collapsed="false">
      <c r="B105" s="110" t="s">
        <v>292</v>
      </c>
      <c r="C105" s="111" t="n">
        <f aca="false">MAX(0,MIN(1,(2026-Assumptions!$B$6-$H$14)-1+Assumptions!$B$22))*('Benefits Build'!$I$10*$E$14+'Benefits Build'!$E$27-('Costs &amp; Capex'!$E$22-'Costs &amp; Capex'!$E$18))-IF(2026&gt;=2028,'Costs &amp; Capex'!$E$18,0)</f>
        <v>0</v>
      </c>
      <c r="D105" s="111" t="n">
        <f aca="false">MAX(0,MIN(1,(2027-Assumptions!$B$6-$H$14)-1+Assumptions!$B$22))*('Benefits Build'!$I$10*$E$14+'Benefits Build'!$E$27-('Costs &amp; Capex'!$E$22-'Costs &amp; Capex'!$E$18))-IF(2027&gt;=2028,'Costs &amp; Capex'!$E$18,0)</f>
        <v>31.7</v>
      </c>
      <c r="E105" s="111" t="n">
        <f aca="false">MAX(0,MIN(1,(2028-Assumptions!$B$6-$H$14)-1+Assumptions!$B$22))*('Benefits Build'!$I$10*$E$14+'Benefits Build'!$E$27-('Costs &amp; Capex'!$E$22-'Costs &amp; Capex'!$E$18))-IF(2028&gt;=2028,'Costs &amp; Capex'!$E$18,0)</f>
        <v>25.4</v>
      </c>
      <c r="F105" s="111" t="n">
        <f aca="false">MAX(0,MIN(1,(2029-Assumptions!$B$6-$H$14)-1+Assumptions!$B$22))*('Benefits Build'!$I$10*$E$14+'Benefits Build'!$E$27-('Costs &amp; Capex'!$E$22-'Costs &amp; Capex'!$E$18))-IF(2029&gt;=2028,'Costs &amp; Capex'!$E$18,0)</f>
        <v>25.4</v>
      </c>
      <c r="G105" s="111" t="n">
        <f aca="false">MAX(0,MIN(1,(2030-Assumptions!$B$6-$H$14)-1+Assumptions!$B$22))*('Benefits Build'!$I$10*$E$14+'Benefits Build'!$E$27-('Costs &amp; Capex'!$E$22-'Costs &amp; Capex'!$E$18))-IF(2030&gt;=2028,'Costs &amp; Capex'!$E$18,0)</f>
        <v>25.4</v>
      </c>
      <c r="H105" s="111" t="n">
        <f aca="false">MAX(0,MIN(1,(2031-Assumptions!$B$6-$H$14)-1+Assumptions!$B$22))*('Benefits Build'!$I$10*$E$14+'Benefits Build'!$E$27-('Costs &amp; Capex'!$E$22-'Costs &amp; Capex'!$E$18))-IF(2031&gt;=2028,'Costs &amp; Capex'!$E$18,0)</f>
        <v>25.4</v>
      </c>
      <c r="I105" s="111" t="n">
        <f aca="false">MAX(0,MIN(1,(2032-Assumptions!$B$6-$H$14)-1+Assumptions!$B$22))*('Benefits Build'!$I$10*$E$14+'Benefits Build'!$E$27-('Costs &amp; Capex'!$E$22-'Costs &amp; Capex'!$E$18))-IF(2032&gt;=2028,'Costs &amp; Capex'!$E$18,0)</f>
        <v>25.4</v>
      </c>
      <c r="J105" s="111" t="n">
        <f aca="false">MAX(0,MIN(1,(2033-Assumptions!$B$6-$H$14)-1+Assumptions!$B$22))*('Benefits Build'!$I$10*$E$14+'Benefits Build'!$E$27-('Costs &amp; Capex'!$E$22-'Costs &amp; Capex'!$E$18))-IF(2033&gt;=2028,'Costs &amp; Capex'!$E$18,0)</f>
        <v>25.4</v>
      </c>
      <c r="K105" s="111" t="n">
        <f aca="false">MAX(0,MIN(1,(2034-Assumptions!$B$6-$H$14)-1+Assumptions!$B$22))*('Benefits Build'!$I$10*$E$14+'Benefits Build'!$E$27-('Costs &amp; Capex'!$E$22-'Costs &amp; Capex'!$E$18))-IF(2034&gt;=2028,'Costs &amp; Capex'!$E$18,0)</f>
        <v>25.4</v>
      </c>
      <c r="L105" s="111" t="n">
        <f aca="false">MAX(0,MIN(1,(2035-Assumptions!$B$6-$H$14)-1+Assumptions!$B$22))*('Benefits Build'!$I$10*$E$14+'Benefits Build'!$E$27-('Costs &amp; Capex'!$E$22-'Costs &amp; Capex'!$E$18))-IF(2035&gt;=2028,'Costs &amp; Capex'!$E$18,0)</f>
        <v>25.4</v>
      </c>
    </row>
    <row r="106" customFormat="false" ht="11.25" hidden="false" customHeight="true" outlineLevel="0" collapsed="false">
      <c r="B106" s="110" t="s">
        <v>293</v>
      </c>
      <c r="C106" s="111" t="n">
        <f aca="false">-((C104+C105)-IF(AND(2026&gt;=2027,2026&lt;=2027+'Costs &amp; Capex'!$C$26-1),'Costs &amp; Capex'!$C$27*$F$14,0))*Assumptions!$B$23</f>
        <v>-0</v>
      </c>
      <c r="D106" s="111" t="n">
        <f aca="false">-((D104+D105)-IF(AND(2027&gt;=2027,2027&lt;=2027+'Costs &amp; Capex'!$C$26-1),'Costs &amp; Capex'!$C$27*$F$14,0))*Assumptions!$B$23</f>
        <v>-1.317</v>
      </c>
      <c r="E106" s="111" t="n">
        <f aca="false">-((E104+E105)-IF(AND(2028&gt;=2027,2028&lt;=2027+'Costs &amp; Capex'!$C$26-1),'Costs &amp; Capex'!$C$27*$F$14,0))*Assumptions!$B$23</f>
        <v>-15.654</v>
      </c>
      <c r="F106" s="111" t="n">
        <f aca="false">-((F104+F105)-IF(AND(2029&gt;=2027,2029&lt;=2027+'Costs &amp; Capex'!$C$26-1),'Costs &amp; Capex'!$C$27*$F$14,0))*Assumptions!$B$23</f>
        <v>-15.654</v>
      </c>
      <c r="G106" s="111" t="n">
        <f aca="false">-((G104+G105)-IF(AND(2030&gt;=2027,2030&lt;=2027+'Costs &amp; Capex'!$C$26-1),'Costs &amp; Capex'!$C$27*$F$14,0))*Assumptions!$B$23</f>
        <v>-15.654</v>
      </c>
      <c r="H106" s="111" t="n">
        <f aca="false">-((H104+H105)-IF(AND(2031&gt;=2027,2031&lt;=2027+'Costs &amp; Capex'!$C$26-1),'Costs &amp; Capex'!$C$27*$F$14,0))*Assumptions!$B$23</f>
        <v>-15.654</v>
      </c>
      <c r="I106" s="111" t="n">
        <f aca="false">-((I104+I105)-IF(AND(2032&gt;=2027,2032&lt;=2027+'Costs &amp; Capex'!$C$26-1),'Costs &amp; Capex'!$C$27*$F$14,0))*Assumptions!$B$23</f>
        <v>-15.654</v>
      </c>
      <c r="J106" s="111" t="n">
        <f aca="false">-((J104+J105)-IF(AND(2033&gt;=2027,2033&lt;=2027+'Costs &amp; Capex'!$C$26-1),'Costs &amp; Capex'!$C$27*$F$14,0))*Assumptions!$B$23</f>
        <v>-15.654</v>
      </c>
      <c r="K106" s="111" t="n">
        <f aca="false">-((K104+K105)-IF(AND(2034&gt;=2027,2034&lt;=2027+'Costs &amp; Capex'!$C$26-1),'Costs &amp; Capex'!$C$27*$F$14,0))*Assumptions!$B$23</f>
        <v>-15.654</v>
      </c>
      <c r="L106" s="111" t="n">
        <f aca="false">-((L104+L105)-IF(AND(2035&gt;=2027,2035&lt;=2027+'Costs &amp; Capex'!$C$26-1),'Costs &amp; Capex'!$C$27*$F$14,0))*Assumptions!$B$23</f>
        <v>-15.654</v>
      </c>
    </row>
    <row r="107" customFormat="false" ht="11.25" hidden="false" customHeight="true" outlineLevel="0" collapsed="false">
      <c r="B107" s="110" t="s">
        <v>294</v>
      </c>
      <c r="C107" s="111" t="n">
        <f aca="false">-SUMIFS('Costs &amp; Capex'!$C$6:$C$12,'Costs &amp; Capex'!$E$6:$E$12,2026)*$F$14-IF(2026=Assumptions!$B$26,Assumptions!$B$25,0)+IF(2026=2035,Assumptions!$B$27*$F$14,0)-IF(2026=2027,Assumptions!$B$24,0)+IF(2026=2035,Assumptions!$B$24,0)</f>
        <v>-1755</v>
      </c>
      <c r="D107" s="111" t="n">
        <f aca="false">-SUMIFS('Costs &amp; Capex'!$C$6:$C$12,'Costs &amp; Capex'!$E$6:$E$12,2027)*$F$14-IF(2027=Assumptions!$B$26,Assumptions!$B$25,0)+IF(2027=2035,Assumptions!$B$27*$F$14,0)-IF(2027=2027,Assumptions!$B$24,0)+IF(2027=2035,Assumptions!$B$24,0)</f>
        <v>-170</v>
      </c>
      <c r="E107" s="111" t="n">
        <f aca="false">-SUMIFS('Costs &amp; Capex'!$C$6:$C$12,'Costs &amp; Capex'!$E$6:$E$12,2028)*$F$14-IF(2028=Assumptions!$B$26,Assumptions!$B$25,0)+IF(2028=2035,Assumptions!$B$27*$F$14,0)-IF(2028=2027,Assumptions!$B$24,0)+IF(2028=2035,Assumptions!$B$24,0)</f>
        <v>0</v>
      </c>
      <c r="F107" s="111" t="n">
        <f aca="false">-SUMIFS('Costs &amp; Capex'!$C$6:$C$12,'Costs &amp; Capex'!$E$6:$E$12,2029)*$F$14-IF(2029=Assumptions!$B$26,Assumptions!$B$25,0)+IF(2029=2035,Assumptions!$B$27*$F$14,0)-IF(2029=2027,Assumptions!$B$24,0)+IF(2029=2035,Assumptions!$B$24,0)</f>
        <v>0</v>
      </c>
      <c r="G107" s="111" t="n">
        <f aca="false">-SUMIFS('Costs &amp; Capex'!$C$6:$C$12,'Costs &amp; Capex'!$E$6:$E$12,2030)*$F$14-IF(2030=Assumptions!$B$26,Assumptions!$B$25,0)+IF(2030=2035,Assumptions!$B$27*$F$14,0)-IF(2030=2027,Assumptions!$B$24,0)+IF(2030=2035,Assumptions!$B$24,0)</f>
        <v>0</v>
      </c>
      <c r="H107" s="111" t="n">
        <f aca="false">-SUMIFS('Costs &amp; Capex'!$C$6:$C$12,'Costs &amp; Capex'!$E$6:$E$12,2031)*$F$14-IF(2031=Assumptions!$B$26,Assumptions!$B$25,0)+IF(2031=2035,Assumptions!$B$27*$F$14,0)-IF(2031=2027,Assumptions!$B$24,0)+IF(2031=2035,Assumptions!$B$24,0)</f>
        <v>-95</v>
      </c>
      <c r="I107" s="111" t="n">
        <f aca="false">-SUMIFS('Costs &amp; Capex'!$C$6:$C$12,'Costs &amp; Capex'!$E$6:$E$12,2032)*$F$14-IF(2032=Assumptions!$B$26,Assumptions!$B$25,0)+IF(2032=2035,Assumptions!$B$27*$F$14,0)-IF(2032=2027,Assumptions!$B$24,0)+IF(2032=2035,Assumptions!$B$24,0)</f>
        <v>0</v>
      </c>
      <c r="J107" s="111" t="n">
        <f aca="false">-SUMIFS('Costs &amp; Capex'!$C$6:$C$12,'Costs &amp; Capex'!$E$6:$E$12,2033)*$F$14-IF(2033=Assumptions!$B$26,Assumptions!$B$25,0)+IF(2033=2035,Assumptions!$B$27*$F$14,0)-IF(2033=2027,Assumptions!$B$24,0)+IF(2033=2035,Assumptions!$B$24,0)</f>
        <v>0</v>
      </c>
      <c r="K107" s="111" t="n">
        <f aca="false">-SUMIFS('Costs &amp; Capex'!$C$6:$C$12,'Costs &amp; Capex'!$E$6:$E$12,2034)*$F$14-IF(2034=Assumptions!$B$26,Assumptions!$B$25,0)+IF(2034=2035,Assumptions!$B$27*$F$14,0)-IF(2034=2027,Assumptions!$B$24,0)+IF(2034=2035,Assumptions!$B$24,0)</f>
        <v>0</v>
      </c>
      <c r="L107" s="111" t="n">
        <f aca="false">-SUMIFS('Costs &amp; Capex'!$C$6:$C$12,'Costs &amp; Capex'!$E$6:$E$12,2035)*$F$14-IF(2035=Assumptions!$B$26,Assumptions!$B$25,0)+IF(2035=2035,Assumptions!$B$27*$F$14,0)-IF(2035=2027,Assumptions!$B$24,0)+IF(2035=2035,Assumptions!$B$24,0)</f>
        <v>281</v>
      </c>
    </row>
    <row r="108" customFormat="false" ht="11.25" hidden="false" customHeight="true" outlineLevel="0" collapsed="false">
      <c r="B108" s="110" t="s">
        <v>112</v>
      </c>
      <c r="C108" s="111" t="n">
        <f aca="false">SUM(C104:C107)</f>
        <v>-1755</v>
      </c>
      <c r="D108" s="111" t="n">
        <f aca="false">SUM(D104:D107)</f>
        <v>25.983</v>
      </c>
      <c r="E108" s="111" t="n">
        <f aca="false">SUM(E104:E107)</f>
        <v>340.946</v>
      </c>
      <c r="F108" s="111" t="n">
        <f aca="false">SUM(F104:F107)</f>
        <v>340.946</v>
      </c>
      <c r="G108" s="111" t="n">
        <f aca="false">SUM(G104:G107)</f>
        <v>340.946</v>
      </c>
      <c r="H108" s="111" t="n">
        <f aca="false">SUM(H104:H107)</f>
        <v>245.946</v>
      </c>
      <c r="I108" s="111" t="n">
        <f aca="false">SUM(I104:I107)</f>
        <v>340.946</v>
      </c>
      <c r="J108" s="111" t="n">
        <f aca="false">SUM(J104:J107)</f>
        <v>340.946</v>
      </c>
      <c r="K108" s="111" t="n">
        <f aca="false">SUM(K104:K107)</f>
        <v>340.946</v>
      </c>
      <c r="L108" s="111" t="n">
        <f aca="false">SUM(L104:L107)</f>
        <v>621.946</v>
      </c>
    </row>
    <row r="109" customFormat="false" ht="11.25" hidden="false" customHeight="true" outlineLevel="0" collapsed="false">
      <c r="B109" s="110" t="s">
        <v>114</v>
      </c>
      <c r="C109" s="112" t="n">
        <f aca="false">1/(1+$G$14)^Appraisal!B$6</f>
        <v>0.944911182523068</v>
      </c>
      <c r="D109" s="112" t="n">
        <f aca="false">1/(1+$G$14)^Appraisal!C$6</f>
        <v>0.843670698681311</v>
      </c>
      <c r="E109" s="112" t="n">
        <f aca="false">1/(1+$G$14)^Appraisal!D$6</f>
        <v>0.753277409536885</v>
      </c>
      <c r="F109" s="112" t="n">
        <f aca="false">1/(1+$G$14)^Appraisal!E$6</f>
        <v>0.672569115657932</v>
      </c>
      <c r="G109" s="112" t="n">
        <f aca="false">1/(1+$G$14)^Appraisal!F$6</f>
        <v>0.600508138980297</v>
      </c>
      <c r="H109" s="112" t="n">
        <f aca="false">1/(1+$G$14)^Appraisal!G$6</f>
        <v>0.536167981232408</v>
      </c>
      <c r="I109" s="112" t="n">
        <f aca="false">1/(1+$G$14)^Appraisal!H$6</f>
        <v>0.47872141181465</v>
      </c>
      <c r="J109" s="112" t="n">
        <f aca="false">1/(1+$G$14)^Appraisal!I$6</f>
        <v>0.427429831977366</v>
      </c>
      <c r="K109" s="112" t="n">
        <f aca="false">1/(1+$G$14)^Appraisal!J$6</f>
        <v>0.381633778551219</v>
      </c>
      <c r="L109" s="112" t="n">
        <f aca="false">1/(1+$G$14)^Appraisal!K$6</f>
        <v>0.340744445135017</v>
      </c>
    </row>
    <row r="110" customFormat="false" ht="11.25" hidden="false" customHeight="true" outlineLevel="0" collapsed="false">
      <c r="B110" s="113" t="s">
        <v>115</v>
      </c>
      <c r="C110" s="114" t="n">
        <f aca="false">C108*C109</f>
        <v>-1658.31912532798</v>
      </c>
      <c r="D110" s="114" t="n">
        <f aca="false">D108*D109</f>
        <v>21.9210957638365</v>
      </c>
      <c r="E110" s="114" t="n">
        <f aca="false">E108*E109</f>
        <v>256.826919671963</v>
      </c>
      <c r="F110" s="114" t="n">
        <f aca="false">F108*F109</f>
        <v>229.30974970711</v>
      </c>
      <c r="G110" s="114" t="n">
        <f aca="false">G108*G109</f>
        <v>204.740847952776</v>
      </c>
      <c r="H110" s="114" t="n">
        <f aca="false">H108*H109</f>
        <v>131.868370312186</v>
      </c>
      <c r="I110" s="114" t="n">
        <f aca="false">I108*I109</f>
        <v>163.218150472558</v>
      </c>
      <c r="J110" s="114" t="n">
        <f aca="false">J108*J109</f>
        <v>145.730491493355</v>
      </c>
      <c r="K110" s="114" t="n">
        <f aca="false">K108*K109</f>
        <v>130.116510261924</v>
      </c>
      <c r="L110" s="114" t="n">
        <f aca="false">L108*L109</f>
        <v>211.924644673944</v>
      </c>
    </row>
    <row r="112" customFormat="false" ht="13.5" hidden="false" customHeight="true" outlineLevel="0" collapsed="false">
      <c r="A112" s="107" t="s">
        <v>303</v>
      </c>
      <c r="B112" s="107"/>
      <c r="C112" s="107"/>
      <c r="D112" s="107"/>
      <c r="E112" s="107"/>
      <c r="F112" s="107"/>
      <c r="G112" s="107"/>
      <c r="H112" s="107"/>
      <c r="I112" s="107"/>
      <c r="J112" s="107"/>
      <c r="K112" s="107"/>
    </row>
    <row r="113" customFormat="false" ht="15" hidden="false" customHeight="false" outlineLevel="0" collapsed="false">
      <c r="B113" s="108" t="s">
        <v>201</v>
      </c>
      <c r="C113" s="109" t="s">
        <v>84</v>
      </c>
      <c r="D113" s="109" t="s">
        <v>85</v>
      </c>
      <c r="E113" s="109" t="s">
        <v>86</v>
      </c>
      <c r="F113" s="109" t="s">
        <v>87</v>
      </c>
      <c r="G113" s="109" t="s">
        <v>88</v>
      </c>
      <c r="H113" s="109" t="s">
        <v>89</v>
      </c>
      <c r="I113" s="109" t="s">
        <v>90</v>
      </c>
      <c r="J113" s="109" t="s">
        <v>91</v>
      </c>
      <c r="K113" s="109" t="s">
        <v>92</v>
      </c>
      <c r="L113" s="109" t="s">
        <v>93</v>
      </c>
    </row>
    <row r="114" customFormat="false" ht="11.25" hidden="false" customHeight="true" outlineLevel="0" collapsed="false">
      <c r="B114" s="110" t="s">
        <v>291</v>
      </c>
      <c r="C114" s="111" t="n">
        <f aca="false">MAX(0,MIN(1,(2026-Assumptions!$B$6-$H$15)-1+Assumptions!$B$22))*'Benefits Build'!$E$18*$C$15*$D$15</f>
        <v>0</v>
      </c>
      <c r="D114" s="111" t="n">
        <f aca="false">MAX(0,MIN(1,(2027-Assumptions!$B$6-$H$15)-1+Assumptions!$B$22))*'Benefits Build'!$E$18*$C$15*$D$15</f>
        <v>146.3904</v>
      </c>
      <c r="E114" s="111" t="n">
        <f aca="false">MAX(0,MIN(1,(2028-Assumptions!$B$6-$H$15)-1+Assumptions!$B$22))*'Benefits Build'!$E$18*$C$15*$D$15</f>
        <v>331.2</v>
      </c>
      <c r="F114" s="111" t="n">
        <f aca="false">MAX(0,MIN(1,(2029-Assumptions!$B$6-$H$15)-1+Assumptions!$B$22))*'Benefits Build'!$E$18*$C$15*$D$15</f>
        <v>331.2</v>
      </c>
      <c r="G114" s="111" t="n">
        <f aca="false">MAX(0,MIN(1,(2030-Assumptions!$B$6-$H$15)-1+Assumptions!$B$22))*'Benefits Build'!$E$18*$C$15*$D$15</f>
        <v>331.2</v>
      </c>
      <c r="H114" s="111" t="n">
        <f aca="false">MAX(0,MIN(1,(2031-Assumptions!$B$6-$H$15)-1+Assumptions!$B$22))*'Benefits Build'!$E$18*$C$15*$D$15</f>
        <v>331.2</v>
      </c>
      <c r="I114" s="111" t="n">
        <f aca="false">MAX(0,MIN(1,(2032-Assumptions!$B$6-$H$15)-1+Assumptions!$B$22))*'Benefits Build'!$E$18*$C$15*$D$15</f>
        <v>331.2</v>
      </c>
      <c r="J114" s="111" t="n">
        <f aca="false">MAX(0,MIN(1,(2033-Assumptions!$B$6-$H$15)-1+Assumptions!$B$22))*'Benefits Build'!$E$18*$C$15*$D$15</f>
        <v>331.2</v>
      </c>
      <c r="K114" s="111" t="n">
        <f aca="false">MAX(0,MIN(1,(2034-Assumptions!$B$6-$H$15)-1+Assumptions!$B$22))*'Benefits Build'!$E$18*$C$15*$D$15</f>
        <v>331.2</v>
      </c>
      <c r="L114" s="111" t="n">
        <f aca="false">MAX(0,MIN(1,(2035-Assumptions!$B$6-$H$15)-1+Assumptions!$B$22))*'Benefits Build'!$E$18*$C$15*$D$15</f>
        <v>331.2</v>
      </c>
    </row>
    <row r="115" customFormat="false" ht="11.25" hidden="false" customHeight="true" outlineLevel="0" collapsed="false">
      <c r="B115" s="110" t="s">
        <v>292</v>
      </c>
      <c r="C115" s="111" t="n">
        <f aca="false">MAX(0,MIN(1,(2026-Assumptions!$B$6-$H$15)-1+Assumptions!$B$22))*('Benefits Build'!$I$10*$E$15+'Benefits Build'!$E$27-('Costs &amp; Capex'!$E$22-'Costs &amp; Capex'!$E$18))-IF(2026&gt;=2028,'Costs &amp; Capex'!$E$18,0)</f>
        <v>0</v>
      </c>
      <c r="D115" s="111" t="n">
        <f aca="false">MAX(0,MIN(1,(2027-Assumptions!$B$6-$H$15)-1+Assumptions!$B$22))*('Benefits Build'!$I$10*$E$15+'Benefits Build'!$E$27-('Costs &amp; Capex'!$E$22-'Costs &amp; Capex'!$E$18))-IF(2027&gt;=2028,'Costs &amp; Capex'!$E$18,0)</f>
        <v>28.0228</v>
      </c>
      <c r="E115" s="111" t="n">
        <f aca="false">MAX(0,MIN(1,(2028-Assumptions!$B$6-$H$15)-1+Assumptions!$B$22))*('Benefits Build'!$I$10*$E$15+'Benefits Build'!$E$27-('Costs &amp; Capex'!$E$22-'Costs &amp; Capex'!$E$18))-IF(2028&gt;=2028,'Costs &amp; Capex'!$E$18,0)</f>
        <v>25.4</v>
      </c>
      <c r="F115" s="111" t="n">
        <f aca="false">MAX(0,MIN(1,(2029-Assumptions!$B$6-$H$15)-1+Assumptions!$B$22))*('Benefits Build'!$I$10*$E$15+'Benefits Build'!$E$27-('Costs &amp; Capex'!$E$22-'Costs &amp; Capex'!$E$18))-IF(2029&gt;=2028,'Costs &amp; Capex'!$E$18,0)</f>
        <v>25.4</v>
      </c>
      <c r="G115" s="111" t="n">
        <f aca="false">MAX(0,MIN(1,(2030-Assumptions!$B$6-$H$15)-1+Assumptions!$B$22))*('Benefits Build'!$I$10*$E$15+'Benefits Build'!$E$27-('Costs &amp; Capex'!$E$22-'Costs &amp; Capex'!$E$18))-IF(2030&gt;=2028,'Costs &amp; Capex'!$E$18,0)</f>
        <v>25.4</v>
      </c>
      <c r="H115" s="111" t="n">
        <f aca="false">MAX(0,MIN(1,(2031-Assumptions!$B$6-$H$15)-1+Assumptions!$B$22))*('Benefits Build'!$I$10*$E$15+'Benefits Build'!$E$27-('Costs &amp; Capex'!$E$22-'Costs &amp; Capex'!$E$18))-IF(2031&gt;=2028,'Costs &amp; Capex'!$E$18,0)</f>
        <v>25.4</v>
      </c>
      <c r="I115" s="111" t="n">
        <f aca="false">MAX(0,MIN(1,(2032-Assumptions!$B$6-$H$15)-1+Assumptions!$B$22))*('Benefits Build'!$I$10*$E$15+'Benefits Build'!$E$27-('Costs &amp; Capex'!$E$22-'Costs &amp; Capex'!$E$18))-IF(2032&gt;=2028,'Costs &amp; Capex'!$E$18,0)</f>
        <v>25.4</v>
      </c>
      <c r="J115" s="111" t="n">
        <f aca="false">MAX(0,MIN(1,(2033-Assumptions!$B$6-$H$15)-1+Assumptions!$B$22))*('Benefits Build'!$I$10*$E$15+'Benefits Build'!$E$27-('Costs &amp; Capex'!$E$22-'Costs &amp; Capex'!$E$18))-IF(2033&gt;=2028,'Costs &amp; Capex'!$E$18,0)</f>
        <v>25.4</v>
      </c>
      <c r="K115" s="111" t="n">
        <f aca="false">MAX(0,MIN(1,(2034-Assumptions!$B$6-$H$15)-1+Assumptions!$B$22))*('Benefits Build'!$I$10*$E$15+'Benefits Build'!$E$27-('Costs &amp; Capex'!$E$22-'Costs &amp; Capex'!$E$18))-IF(2034&gt;=2028,'Costs &amp; Capex'!$E$18,0)</f>
        <v>25.4</v>
      </c>
      <c r="L115" s="111" t="n">
        <f aca="false">MAX(0,MIN(1,(2035-Assumptions!$B$6-$H$15)-1+Assumptions!$B$22))*('Benefits Build'!$I$10*$E$15+'Benefits Build'!$E$27-('Costs &amp; Capex'!$E$22-'Costs &amp; Capex'!$E$18))-IF(2035&gt;=2028,'Costs &amp; Capex'!$E$18,0)</f>
        <v>25.4</v>
      </c>
    </row>
    <row r="116" customFormat="false" ht="11.25" hidden="false" customHeight="true" outlineLevel="0" collapsed="false">
      <c r="B116" s="110" t="s">
        <v>293</v>
      </c>
      <c r="C116" s="111" t="n">
        <f aca="false">-((C114+C115)-IF(AND(2026&gt;=2027,2026&lt;=2027+'Costs &amp; Capex'!$C$26-1),'Costs &amp; Capex'!$C$27*$F$15,0))*Assumptions!$B$23</f>
        <v>-0</v>
      </c>
      <c r="D116" s="111" t="n">
        <f aca="false">-((D114+D115)-IF(AND(2027&gt;=2027,2027&lt;=2027+'Costs &amp; Capex'!$C$26-1),'Costs &amp; Capex'!$C$27*$F$15,0))*Assumptions!$B$23</f>
        <v>0.742811999999998</v>
      </c>
      <c r="E116" s="111" t="n">
        <f aca="false">-((E114+E115)-IF(AND(2028&gt;=2027,2028&lt;=2027+'Costs &amp; Capex'!$C$26-1),'Costs &amp; Capex'!$C$27*$F$15,0))*Assumptions!$B$23</f>
        <v>-15.654</v>
      </c>
      <c r="F116" s="111" t="n">
        <f aca="false">-((F114+F115)-IF(AND(2029&gt;=2027,2029&lt;=2027+'Costs &amp; Capex'!$C$26-1),'Costs &amp; Capex'!$C$27*$F$15,0))*Assumptions!$B$23</f>
        <v>-15.654</v>
      </c>
      <c r="G116" s="111" t="n">
        <f aca="false">-((G114+G115)-IF(AND(2030&gt;=2027,2030&lt;=2027+'Costs &amp; Capex'!$C$26-1),'Costs &amp; Capex'!$C$27*$F$15,0))*Assumptions!$B$23</f>
        <v>-15.654</v>
      </c>
      <c r="H116" s="111" t="n">
        <f aca="false">-((H114+H115)-IF(AND(2031&gt;=2027,2031&lt;=2027+'Costs &amp; Capex'!$C$26-1),'Costs &amp; Capex'!$C$27*$F$15,0))*Assumptions!$B$23</f>
        <v>-15.654</v>
      </c>
      <c r="I116" s="111" t="n">
        <f aca="false">-((I114+I115)-IF(AND(2032&gt;=2027,2032&lt;=2027+'Costs &amp; Capex'!$C$26-1),'Costs &amp; Capex'!$C$27*$F$15,0))*Assumptions!$B$23</f>
        <v>-15.654</v>
      </c>
      <c r="J116" s="111" t="n">
        <f aca="false">-((J114+J115)-IF(AND(2033&gt;=2027,2033&lt;=2027+'Costs &amp; Capex'!$C$26-1),'Costs &amp; Capex'!$C$27*$F$15,0))*Assumptions!$B$23</f>
        <v>-15.654</v>
      </c>
      <c r="K116" s="111" t="n">
        <f aca="false">-((K114+K115)-IF(AND(2034&gt;=2027,2034&lt;=2027+'Costs &amp; Capex'!$C$26-1),'Costs &amp; Capex'!$C$27*$F$15,0))*Assumptions!$B$23</f>
        <v>-15.654</v>
      </c>
      <c r="L116" s="111" t="n">
        <f aca="false">-((L114+L115)-IF(AND(2035&gt;=2027,2035&lt;=2027+'Costs &amp; Capex'!$C$26-1),'Costs &amp; Capex'!$C$27*$F$15,0))*Assumptions!$B$23</f>
        <v>-15.654</v>
      </c>
    </row>
    <row r="117" customFormat="false" ht="11.25" hidden="false" customHeight="true" outlineLevel="0" collapsed="false">
      <c r="B117" s="110" t="s">
        <v>294</v>
      </c>
      <c r="C117" s="111" t="n">
        <f aca="false">-SUMIFS('Costs &amp; Capex'!$C$6:$C$12,'Costs &amp; Capex'!$E$6:$E$12,2026)*$F$15-IF(2026=Assumptions!$B$26,Assumptions!$B$25,0)+IF(2026=2035,Assumptions!$B$27*$F$15,0)-IF(2026=2027,Assumptions!$B$24,0)+IF(2026=2035,Assumptions!$B$24,0)</f>
        <v>-1755</v>
      </c>
      <c r="D117" s="111" t="n">
        <f aca="false">-SUMIFS('Costs &amp; Capex'!$C$6:$C$12,'Costs &amp; Capex'!$E$6:$E$12,2027)*$F$15-IF(2027=Assumptions!$B$26,Assumptions!$B$25,0)+IF(2027=2035,Assumptions!$B$27*$F$15,0)-IF(2027=2027,Assumptions!$B$24,0)+IF(2027=2035,Assumptions!$B$24,0)</f>
        <v>-170</v>
      </c>
      <c r="E117" s="111" t="n">
        <f aca="false">-SUMIFS('Costs &amp; Capex'!$C$6:$C$12,'Costs &amp; Capex'!$E$6:$E$12,2028)*$F$15-IF(2028=Assumptions!$B$26,Assumptions!$B$25,0)+IF(2028=2035,Assumptions!$B$27*$F$15,0)-IF(2028=2027,Assumptions!$B$24,0)+IF(2028=2035,Assumptions!$B$24,0)</f>
        <v>0</v>
      </c>
      <c r="F117" s="111" t="n">
        <f aca="false">-SUMIFS('Costs &amp; Capex'!$C$6:$C$12,'Costs &amp; Capex'!$E$6:$E$12,2029)*$F$15-IF(2029=Assumptions!$B$26,Assumptions!$B$25,0)+IF(2029=2035,Assumptions!$B$27*$F$15,0)-IF(2029=2027,Assumptions!$B$24,0)+IF(2029=2035,Assumptions!$B$24,0)</f>
        <v>0</v>
      </c>
      <c r="G117" s="111" t="n">
        <f aca="false">-SUMIFS('Costs &amp; Capex'!$C$6:$C$12,'Costs &amp; Capex'!$E$6:$E$12,2030)*$F$15-IF(2030=Assumptions!$B$26,Assumptions!$B$25,0)+IF(2030=2035,Assumptions!$B$27*$F$15,0)-IF(2030=2027,Assumptions!$B$24,0)+IF(2030=2035,Assumptions!$B$24,0)</f>
        <v>0</v>
      </c>
      <c r="H117" s="111" t="n">
        <f aca="false">-SUMIFS('Costs &amp; Capex'!$C$6:$C$12,'Costs &amp; Capex'!$E$6:$E$12,2031)*$F$15-IF(2031=Assumptions!$B$26,Assumptions!$B$25,0)+IF(2031=2035,Assumptions!$B$27*$F$15,0)-IF(2031=2027,Assumptions!$B$24,0)+IF(2031=2035,Assumptions!$B$24,0)</f>
        <v>-95</v>
      </c>
      <c r="I117" s="111" t="n">
        <f aca="false">-SUMIFS('Costs &amp; Capex'!$C$6:$C$12,'Costs &amp; Capex'!$E$6:$E$12,2032)*$F$15-IF(2032=Assumptions!$B$26,Assumptions!$B$25,0)+IF(2032=2035,Assumptions!$B$27*$F$15,0)-IF(2032=2027,Assumptions!$B$24,0)+IF(2032=2035,Assumptions!$B$24,0)</f>
        <v>0</v>
      </c>
      <c r="J117" s="111" t="n">
        <f aca="false">-SUMIFS('Costs &amp; Capex'!$C$6:$C$12,'Costs &amp; Capex'!$E$6:$E$12,2033)*$F$15-IF(2033=Assumptions!$B$26,Assumptions!$B$25,0)+IF(2033=2035,Assumptions!$B$27*$F$15,0)-IF(2033=2027,Assumptions!$B$24,0)+IF(2033=2035,Assumptions!$B$24,0)</f>
        <v>0</v>
      </c>
      <c r="K117" s="111" t="n">
        <f aca="false">-SUMIFS('Costs &amp; Capex'!$C$6:$C$12,'Costs &amp; Capex'!$E$6:$E$12,2034)*$F$15-IF(2034=Assumptions!$B$26,Assumptions!$B$25,0)+IF(2034=2035,Assumptions!$B$27*$F$15,0)-IF(2034=2027,Assumptions!$B$24,0)+IF(2034=2035,Assumptions!$B$24,0)</f>
        <v>0</v>
      </c>
      <c r="L117" s="111" t="n">
        <f aca="false">-SUMIFS('Costs &amp; Capex'!$C$6:$C$12,'Costs &amp; Capex'!$E$6:$E$12,2035)*$F$15-IF(2035=Assumptions!$B$26,Assumptions!$B$25,0)+IF(2035=2035,Assumptions!$B$27*$F$15,0)-IF(2035=2027,Assumptions!$B$24,0)+IF(2035=2035,Assumptions!$B$24,0)</f>
        <v>281</v>
      </c>
    </row>
    <row r="118" customFormat="false" ht="11.25" hidden="false" customHeight="true" outlineLevel="0" collapsed="false">
      <c r="B118" s="110" t="s">
        <v>112</v>
      </c>
      <c r="C118" s="111" t="n">
        <f aca="false">SUM(C114:C117)</f>
        <v>-1755</v>
      </c>
      <c r="D118" s="111" t="n">
        <f aca="false">SUM(D114:D117)</f>
        <v>5.156012</v>
      </c>
      <c r="E118" s="111" t="n">
        <f aca="false">SUM(E114:E117)</f>
        <v>340.946</v>
      </c>
      <c r="F118" s="111" t="n">
        <f aca="false">SUM(F114:F117)</f>
        <v>340.946</v>
      </c>
      <c r="G118" s="111" t="n">
        <f aca="false">SUM(G114:G117)</f>
        <v>340.946</v>
      </c>
      <c r="H118" s="111" t="n">
        <f aca="false">SUM(H114:H117)</f>
        <v>245.946</v>
      </c>
      <c r="I118" s="111" t="n">
        <f aca="false">SUM(I114:I117)</f>
        <v>340.946</v>
      </c>
      <c r="J118" s="111" t="n">
        <f aca="false">SUM(J114:J117)</f>
        <v>340.946</v>
      </c>
      <c r="K118" s="111" t="n">
        <f aca="false">SUM(K114:K117)</f>
        <v>340.946</v>
      </c>
      <c r="L118" s="111" t="n">
        <f aca="false">SUM(L114:L117)</f>
        <v>621.946</v>
      </c>
    </row>
    <row r="119" customFormat="false" ht="11.25" hidden="false" customHeight="true" outlineLevel="0" collapsed="false">
      <c r="B119" s="110" t="s">
        <v>114</v>
      </c>
      <c r="C119" s="112" t="n">
        <f aca="false">1/(1+$G$15)^Appraisal!B$6</f>
        <v>0.950443247520335</v>
      </c>
      <c r="D119" s="112" t="n">
        <f aca="false">1/(1+$G$15)^Appraisal!C$6</f>
        <v>0.85857565268323</v>
      </c>
      <c r="E119" s="112" t="n">
        <f aca="false">1/(1+$G$15)^Appraisal!D$6</f>
        <v>0.775587762134805</v>
      </c>
      <c r="F119" s="112" t="n">
        <f aca="false">1/(1+$G$15)^Appraisal!E$6</f>
        <v>0.700621284674621</v>
      </c>
      <c r="G119" s="112" t="n">
        <f aca="false">1/(1+$G$15)^Appraisal!F$6</f>
        <v>0.632900889498303</v>
      </c>
      <c r="H119" s="112" t="n">
        <f aca="false">1/(1+$G$15)^Appraisal!G$6</f>
        <v>0.571726187442008</v>
      </c>
      <c r="I119" s="112" t="n">
        <f aca="false">1/(1+$G$15)^Appraisal!H$6</f>
        <v>0.51646448730082</v>
      </c>
      <c r="J119" s="112" t="n">
        <f aca="false">1/(1+$G$15)^Appraisal!I$6</f>
        <v>0.466544252304264</v>
      </c>
      <c r="K119" s="112" t="n">
        <f aca="false">1/(1+$G$15)^Appraisal!J$6</f>
        <v>0.421449189073409</v>
      </c>
      <c r="L119" s="112" t="n">
        <f aca="false">1/(1+$G$15)^Appraisal!K$6</f>
        <v>0.380712907925392</v>
      </c>
    </row>
    <row r="120" customFormat="false" ht="11.25" hidden="false" customHeight="true" outlineLevel="0" collapsed="false">
      <c r="B120" s="113" t="s">
        <v>115</v>
      </c>
      <c r="C120" s="114" t="n">
        <f aca="false">C118*C119</f>
        <v>-1668.02789939819</v>
      </c>
      <c r="D120" s="114" t="n">
        <f aca="false">D118*D119</f>
        <v>4.42682636814257</v>
      </c>
      <c r="E120" s="114" t="n">
        <f aca="false">E118*E119</f>
        <v>264.433545148813</v>
      </c>
      <c r="F120" s="114" t="n">
        <f aca="false">F118*F119</f>
        <v>238.874024524673</v>
      </c>
      <c r="G120" s="114" t="n">
        <f aca="false">G118*G119</f>
        <v>215.785026670888</v>
      </c>
      <c r="H120" s="114" t="n">
        <f aca="false">H118*H119</f>
        <v>140.613768896612</v>
      </c>
      <c r="I120" s="114" t="n">
        <f aca="false">I118*I119</f>
        <v>176.086501087265</v>
      </c>
      <c r="J120" s="114" t="n">
        <f aca="false">J118*J119</f>
        <v>159.06639664613</v>
      </c>
      <c r="K120" s="114" t="n">
        <f aca="false">K118*K119</f>
        <v>143.691415217823</v>
      </c>
      <c r="L120" s="114" t="n">
        <f aca="false">L118*L119</f>
        <v>236.782870232566</v>
      </c>
    </row>
    <row r="122" customFormat="false" ht="13.5" hidden="false" customHeight="true" outlineLevel="0" collapsed="false">
      <c r="A122" s="107" t="s">
        <v>304</v>
      </c>
      <c r="B122" s="107"/>
      <c r="C122" s="107"/>
      <c r="D122" s="107"/>
      <c r="E122" s="107"/>
      <c r="F122" s="107"/>
      <c r="G122" s="107"/>
      <c r="H122" s="107"/>
      <c r="I122" s="107"/>
      <c r="J122" s="107"/>
      <c r="K122" s="107"/>
    </row>
    <row r="123" customFormat="false" ht="15" hidden="false" customHeight="false" outlineLevel="0" collapsed="false">
      <c r="B123" s="108" t="s">
        <v>201</v>
      </c>
      <c r="C123" s="109" t="s">
        <v>84</v>
      </c>
      <c r="D123" s="109" t="s">
        <v>85</v>
      </c>
      <c r="E123" s="109" t="s">
        <v>86</v>
      </c>
      <c r="F123" s="109" t="s">
        <v>87</v>
      </c>
      <c r="G123" s="109" t="s">
        <v>88</v>
      </c>
      <c r="H123" s="109" t="s">
        <v>89</v>
      </c>
      <c r="I123" s="109" t="s">
        <v>90</v>
      </c>
      <c r="J123" s="109" t="s">
        <v>91</v>
      </c>
      <c r="K123" s="109" t="s">
        <v>92</v>
      </c>
      <c r="L123" s="109" t="s">
        <v>93</v>
      </c>
    </row>
    <row r="124" customFormat="false" ht="11.25" hidden="false" customHeight="true" outlineLevel="0" collapsed="false">
      <c r="B124" s="110" t="s">
        <v>291</v>
      </c>
      <c r="C124" s="111" t="n">
        <f aca="false">MAX(0,MIN(1,(2026-Assumptions!$B$6-$H$16)-1+Assumptions!$B$22))*'Benefits Build'!$E$18*$C$16*$D$16</f>
        <v>0</v>
      </c>
      <c r="D124" s="111" t="n">
        <f aca="false">MAX(0,MIN(1,(2027-Assumptions!$B$6-$H$16)-1+Assumptions!$B$22))*'Benefits Build'!$E$18*$C$16*$D$16</f>
        <v>165.6</v>
      </c>
      <c r="E124" s="111" t="n">
        <f aca="false">MAX(0,MIN(1,(2028-Assumptions!$B$6-$H$16)-1+Assumptions!$B$22))*'Benefits Build'!$E$18*$C$16*$D$16</f>
        <v>331.2</v>
      </c>
      <c r="F124" s="111" t="n">
        <f aca="false">MAX(0,MIN(1,(2029-Assumptions!$B$6-$H$16)-1+Assumptions!$B$22))*'Benefits Build'!$E$18*$C$16*$D$16</f>
        <v>331.2</v>
      </c>
      <c r="G124" s="111" t="n">
        <f aca="false">MAX(0,MIN(1,(2030-Assumptions!$B$6-$H$16)-1+Assumptions!$B$22))*'Benefits Build'!$E$18*$C$16*$D$16</f>
        <v>331.2</v>
      </c>
      <c r="H124" s="111" t="n">
        <f aca="false">MAX(0,MIN(1,(2031-Assumptions!$B$6-$H$16)-1+Assumptions!$B$22))*'Benefits Build'!$E$18*$C$16*$D$16</f>
        <v>331.2</v>
      </c>
      <c r="I124" s="111" t="n">
        <f aca="false">MAX(0,MIN(1,(2032-Assumptions!$B$6-$H$16)-1+Assumptions!$B$22))*'Benefits Build'!$E$18*$C$16*$D$16</f>
        <v>331.2</v>
      </c>
      <c r="J124" s="111" t="n">
        <f aca="false">MAX(0,MIN(1,(2033-Assumptions!$B$6-$H$16)-1+Assumptions!$B$22))*'Benefits Build'!$E$18*$C$16*$D$16</f>
        <v>331.2</v>
      </c>
      <c r="K124" s="111" t="n">
        <f aca="false">MAX(0,MIN(1,(2034-Assumptions!$B$6-$H$16)-1+Assumptions!$B$22))*'Benefits Build'!$E$18*$C$16*$D$16</f>
        <v>331.2</v>
      </c>
      <c r="L124" s="111" t="n">
        <f aca="false">MAX(0,MIN(1,(2035-Assumptions!$B$6-$H$16)-1+Assumptions!$B$22))*'Benefits Build'!$E$18*$C$16*$D$16</f>
        <v>331.2</v>
      </c>
    </row>
    <row r="125" customFormat="false" ht="11.25" hidden="false" customHeight="true" outlineLevel="0" collapsed="false">
      <c r="B125" s="110" t="s">
        <v>292</v>
      </c>
      <c r="C125" s="111" t="n">
        <f aca="false">MAX(0,MIN(1,(2026-Assumptions!$B$6-$H$16)-1+Assumptions!$B$22))*('Benefits Build'!$I$10*$E$16+'Benefits Build'!$E$27-('Costs &amp; Capex'!$E$22-'Costs &amp; Capex'!$E$18))-IF(2026&gt;=2028,'Costs &amp; Capex'!$E$18,0)</f>
        <v>0</v>
      </c>
      <c r="D125" s="111" t="n">
        <f aca="false">MAX(0,MIN(1,(2027-Assumptions!$B$6-$H$16)-1+Assumptions!$B$22))*('Benefits Build'!$I$10*$E$16+'Benefits Build'!$E$27-('Costs &amp; Capex'!$E$22-'Costs &amp; Capex'!$E$18))-IF(2027&gt;=2028,'Costs &amp; Capex'!$E$18,0)</f>
        <v>31.7</v>
      </c>
      <c r="E125" s="111" t="n">
        <f aca="false">MAX(0,MIN(1,(2028-Assumptions!$B$6-$H$16)-1+Assumptions!$B$22))*('Benefits Build'!$I$10*$E$16+'Benefits Build'!$E$27-('Costs &amp; Capex'!$E$22-'Costs &amp; Capex'!$E$18))-IF(2028&gt;=2028,'Costs &amp; Capex'!$E$18,0)</f>
        <v>25.4</v>
      </c>
      <c r="F125" s="111" t="n">
        <f aca="false">MAX(0,MIN(1,(2029-Assumptions!$B$6-$H$16)-1+Assumptions!$B$22))*('Benefits Build'!$I$10*$E$16+'Benefits Build'!$E$27-('Costs &amp; Capex'!$E$22-'Costs &amp; Capex'!$E$18))-IF(2029&gt;=2028,'Costs &amp; Capex'!$E$18,0)</f>
        <v>25.4</v>
      </c>
      <c r="G125" s="111" t="n">
        <f aca="false">MAX(0,MIN(1,(2030-Assumptions!$B$6-$H$16)-1+Assumptions!$B$22))*('Benefits Build'!$I$10*$E$16+'Benefits Build'!$E$27-('Costs &amp; Capex'!$E$22-'Costs &amp; Capex'!$E$18))-IF(2030&gt;=2028,'Costs &amp; Capex'!$E$18,0)</f>
        <v>25.4</v>
      </c>
      <c r="H125" s="111" t="n">
        <f aca="false">MAX(0,MIN(1,(2031-Assumptions!$B$6-$H$16)-1+Assumptions!$B$22))*('Benefits Build'!$I$10*$E$16+'Benefits Build'!$E$27-('Costs &amp; Capex'!$E$22-'Costs &amp; Capex'!$E$18))-IF(2031&gt;=2028,'Costs &amp; Capex'!$E$18,0)</f>
        <v>25.4</v>
      </c>
      <c r="I125" s="111" t="n">
        <f aca="false">MAX(0,MIN(1,(2032-Assumptions!$B$6-$H$16)-1+Assumptions!$B$22))*('Benefits Build'!$I$10*$E$16+'Benefits Build'!$E$27-('Costs &amp; Capex'!$E$22-'Costs &amp; Capex'!$E$18))-IF(2032&gt;=2028,'Costs &amp; Capex'!$E$18,0)</f>
        <v>25.4</v>
      </c>
      <c r="J125" s="111" t="n">
        <f aca="false">MAX(0,MIN(1,(2033-Assumptions!$B$6-$H$16)-1+Assumptions!$B$22))*('Benefits Build'!$I$10*$E$16+'Benefits Build'!$E$27-('Costs &amp; Capex'!$E$22-'Costs &amp; Capex'!$E$18))-IF(2033&gt;=2028,'Costs &amp; Capex'!$E$18,0)</f>
        <v>25.4</v>
      </c>
      <c r="K125" s="111" t="n">
        <f aca="false">MAX(0,MIN(1,(2034-Assumptions!$B$6-$H$16)-1+Assumptions!$B$22))*('Benefits Build'!$I$10*$E$16+'Benefits Build'!$E$27-('Costs &amp; Capex'!$E$22-'Costs &amp; Capex'!$E$18))-IF(2034&gt;=2028,'Costs &amp; Capex'!$E$18,0)</f>
        <v>25.4</v>
      </c>
      <c r="L125" s="111" t="n">
        <f aca="false">MAX(0,MIN(1,(2035-Assumptions!$B$6-$H$16)-1+Assumptions!$B$22))*('Benefits Build'!$I$10*$E$16+'Benefits Build'!$E$27-('Costs &amp; Capex'!$E$22-'Costs &amp; Capex'!$E$18))-IF(2035&gt;=2028,'Costs &amp; Capex'!$E$18,0)</f>
        <v>25.4</v>
      </c>
    </row>
    <row r="126" customFormat="false" ht="11.25" hidden="false" customHeight="true" outlineLevel="0" collapsed="false">
      <c r="B126" s="110" t="s">
        <v>293</v>
      </c>
      <c r="C126" s="111" t="n">
        <f aca="false">-((C124+C125)-IF(AND(2026&gt;=2027,2026&lt;=2027+'Costs &amp; Capex'!$C$26-1),'Costs &amp; Capex'!$C$27*$F$16,0))*Assumptions!$B$23</f>
        <v>-0</v>
      </c>
      <c r="D126" s="111" t="n">
        <f aca="false">-((D124+D125)-IF(AND(2027&gt;=2027,2027&lt;=2027+'Costs &amp; Capex'!$C$26-1),'Costs &amp; Capex'!$C$27*$F$16,0))*Assumptions!$B$23</f>
        <v>-2.13900000000001</v>
      </c>
      <c r="E126" s="111" t="n">
        <f aca="false">-((E124+E125)-IF(AND(2028&gt;=2027,2028&lt;=2027+'Costs &amp; Capex'!$C$26-1),'Costs &amp; Capex'!$C$27*$F$16,0))*Assumptions!$B$23</f>
        <v>-16.476</v>
      </c>
      <c r="F126" s="111" t="n">
        <f aca="false">-((F124+F125)-IF(AND(2029&gt;=2027,2029&lt;=2027+'Costs &amp; Capex'!$C$26-1),'Costs &amp; Capex'!$C$27*$F$16,0))*Assumptions!$B$23</f>
        <v>-16.476</v>
      </c>
      <c r="G126" s="111" t="n">
        <f aca="false">-((G124+G125)-IF(AND(2030&gt;=2027,2030&lt;=2027+'Costs &amp; Capex'!$C$26-1),'Costs &amp; Capex'!$C$27*$F$16,0))*Assumptions!$B$23</f>
        <v>-16.476</v>
      </c>
      <c r="H126" s="111" t="n">
        <f aca="false">-((H124+H125)-IF(AND(2031&gt;=2027,2031&lt;=2027+'Costs &amp; Capex'!$C$26-1),'Costs &amp; Capex'!$C$27*$F$16,0))*Assumptions!$B$23</f>
        <v>-16.476</v>
      </c>
      <c r="I126" s="111" t="n">
        <f aca="false">-((I124+I125)-IF(AND(2032&gt;=2027,2032&lt;=2027+'Costs &amp; Capex'!$C$26-1),'Costs &amp; Capex'!$C$27*$F$16,0))*Assumptions!$B$23</f>
        <v>-16.476</v>
      </c>
      <c r="J126" s="111" t="n">
        <f aca="false">-((J124+J125)-IF(AND(2033&gt;=2027,2033&lt;=2027+'Costs &amp; Capex'!$C$26-1),'Costs &amp; Capex'!$C$27*$F$16,0))*Assumptions!$B$23</f>
        <v>-16.476</v>
      </c>
      <c r="K126" s="111" t="n">
        <f aca="false">-((K124+K125)-IF(AND(2034&gt;=2027,2034&lt;=2027+'Costs &amp; Capex'!$C$26-1),'Costs &amp; Capex'!$C$27*$F$16,0))*Assumptions!$B$23</f>
        <v>-16.476</v>
      </c>
      <c r="L126" s="111" t="n">
        <f aca="false">-((L124+L125)-IF(AND(2035&gt;=2027,2035&lt;=2027+'Costs &amp; Capex'!$C$26-1),'Costs &amp; Capex'!$C$27*$F$16,0))*Assumptions!$B$23</f>
        <v>-16.476</v>
      </c>
    </row>
    <row r="127" customFormat="false" ht="11.25" hidden="false" customHeight="true" outlineLevel="0" collapsed="false">
      <c r="B127" s="110" t="s">
        <v>294</v>
      </c>
      <c r="C127" s="111" t="n">
        <f aca="false">-SUMIFS('Costs &amp; Capex'!$C$6:$C$12,'Costs &amp; Capex'!$E$6:$E$12,2026)*$F$16-IF(2026=Assumptions!$B$26,Assumptions!$B$25,0)+IF(2026=2035,Assumptions!$B$27*$F$16,0)-IF(2026=2027,Assumptions!$B$24,0)+IF(2026=2035,Assumptions!$B$24,0)</f>
        <v>-1667.25</v>
      </c>
      <c r="D127" s="111" t="n">
        <f aca="false">-SUMIFS('Costs &amp; Capex'!$C$6:$C$12,'Costs &amp; Capex'!$E$6:$E$12,2027)*$F$16-IF(2027=Assumptions!$B$26,Assumptions!$B$25,0)+IF(2027=2035,Assumptions!$B$27*$F$16,0)-IF(2027=2027,Assumptions!$B$24,0)+IF(2027=2035,Assumptions!$B$24,0)</f>
        <v>-166.25</v>
      </c>
      <c r="E127" s="111" t="n">
        <f aca="false">-SUMIFS('Costs &amp; Capex'!$C$6:$C$12,'Costs &amp; Capex'!$E$6:$E$12,2028)*$F$16-IF(2028=Assumptions!$B$26,Assumptions!$B$25,0)+IF(2028=2035,Assumptions!$B$27*$F$16,0)-IF(2028=2027,Assumptions!$B$24,0)+IF(2028=2035,Assumptions!$B$24,0)</f>
        <v>0</v>
      </c>
      <c r="F127" s="111" t="n">
        <f aca="false">-SUMIFS('Costs &amp; Capex'!$C$6:$C$12,'Costs &amp; Capex'!$E$6:$E$12,2029)*$F$16-IF(2029=Assumptions!$B$26,Assumptions!$B$25,0)+IF(2029=2035,Assumptions!$B$27*$F$16,0)-IF(2029=2027,Assumptions!$B$24,0)+IF(2029=2035,Assumptions!$B$24,0)</f>
        <v>0</v>
      </c>
      <c r="G127" s="111" t="n">
        <f aca="false">-SUMIFS('Costs &amp; Capex'!$C$6:$C$12,'Costs &amp; Capex'!$E$6:$E$12,2030)*$F$16-IF(2030=Assumptions!$B$26,Assumptions!$B$25,0)+IF(2030=2035,Assumptions!$B$27*$F$16,0)-IF(2030=2027,Assumptions!$B$24,0)+IF(2030=2035,Assumptions!$B$24,0)</f>
        <v>0</v>
      </c>
      <c r="H127" s="111" t="n">
        <f aca="false">-SUMIFS('Costs &amp; Capex'!$C$6:$C$12,'Costs &amp; Capex'!$E$6:$E$12,2031)*$F$16-IF(2031=Assumptions!$B$26,Assumptions!$B$25,0)+IF(2031=2035,Assumptions!$B$27*$F$16,0)-IF(2031=2027,Assumptions!$B$24,0)+IF(2031=2035,Assumptions!$B$24,0)</f>
        <v>-95</v>
      </c>
      <c r="I127" s="111" t="n">
        <f aca="false">-SUMIFS('Costs &amp; Capex'!$C$6:$C$12,'Costs &amp; Capex'!$E$6:$E$12,2032)*$F$16-IF(2032=Assumptions!$B$26,Assumptions!$B$25,0)+IF(2032=2035,Assumptions!$B$27*$F$16,0)-IF(2032=2027,Assumptions!$B$24,0)+IF(2032=2035,Assumptions!$B$24,0)</f>
        <v>0</v>
      </c>
      <c r="J127" s="111" t="n">
        <f aca="false">-SUMIFS('Costs &amp; Capex'!$C$6:$C$12,'Costs &amp; Capex'!$E$6:$E$12,2033)*$F$16-IF(2033=Assumptions!$B$26,Assumptions!$B$25,0)+IF(2033=2035,Assumptions!$B$27*$F$16,0)-IF(2033=2027,Assumptions!$B$24,0)+IF(2033=2035,Assumptions!$B$24,0)</f>
        <v>0</v>
      </c>
      <c r="K127" s="111" t="n">
        <f aca="false">-SUMIFS('Costs &amp; Capex'!$C$6:$C$12,'Costs &amp; Capex'!$E$6:$E$12,2034)*$F$16-IF(2034=Assumptions!$B$26,Assumptions!$B$25,0)+IF(2034=2035,Assumptions!$B$27*$F$16,0)-IF(2034=2027,Assumptions!$B$24,0)+IF(2034=2035,Assumptions!$B$24,0)</f>
        <v>0</v>
      </c>
      <c r="L127" s="111" t="n">
        <f aca="false">-SUMIFS('Costs &amp; Capex'!$C$6:$C$12,'Costs &amp; Capex'!$E$6:$E$12,2035)*$F$16-IF(2035=Assumptions!$B$26,Assumptions!$B$25,0)+IF(2035=2035,Assumptions!$B$27*$F$16,0)-IF(2035=2027,Assumptions!$B$24,0)+IF(2035=2035,Assumptions!$B$24,0)</f>
        <v>271.7</v>
      </c>
    </row>
    <row r="128" customFormat="false" ht="11.25" hidden="false" customHeight="true" outlineLevel="0" collapsed="false">
      <c r="B128" s="110" t="s">
        <v>112</v>
      </c>
      <c r="C128" s="111" t="n">
        <f aca="false">SUM(C124:C127)</f>
        <v>-1667.25</v>
      </c>
      <c r="D128" s="111" t="n">
        <f aca="false">SUM(D124:D127)</f>
        <v>28.911</v>
      </c>
      <c r="E128" s="111" t="n">
        <f aca="false">SUM(E124:E127)</f>
        <v>340.124</v>
      </c>
      <c r="F128" s="111" t="n">
        <f aca="false">SUM(F124:F127)</f>
        <v>340.124</v>
      </c>
      <c r="G128" s="111" t="n">
        <f aca="false">SUM(G124:G127)</f>
        <v>340.124</v>
      </c>
      <c r="H128" s="111" t="n">
        <f aca="false">SUM(H124:H127)</f>
        <v>245.124</v>
      </c>
      <c r="I128" s="111" t="n">
        <f aca="false">SUM(I124:I127)</f>
        <v>340.124</v>
      </c>
      <c r="J128" s="111" t="n">
        <f aca="false">SUM(J124:J127)</f>
        <v>340.124</v>
      </c>
      <c r="K128" s="111" t="n">
        <f aca="false">SUM(K124:K127)</f>
        <v>340.124</v>
      </c>
      <c r="L128" s="111" t="n">
        <f aca="false">SUM(L124:L127)</f>
        <v>611.824</v>
      </c>
    </row>
    <row r="129" customFormat="false" ht="11.25" hidden="false" customHeight="true" outlineLevel="0" collapsed="false">
      <c r="B129" s="110" t="s">
        <v>114</v>
      </c>
      <c r="C129" s="112" t="n">
        <f aca="false">1/(1+$G$16)^Appraisal!B$6</f>
        <v>0.950443247520335</v>
      </c>
      <c r="D129" s="112" t="n">
        <f aca="false">1/(1+$G$16)^Appraisal!C$6</f>
        <v>0.85857565268323</v>
      </c>
      <c r="E129" s="112" t="n">
        <f aca="false">1/(1+$G$16)^Appraisal!D$6</f>
        <v>0.775587762134805</v>
      </c>
      <c r="F129" s="112" t="n">
        <f aca="false">1/(1+$G$16)^Appraisal!E$6</f>
        <v>0.700621284674621</v>
      </c>
      <c r="G129" s="112" t="n">
        <f aca="false">1/(1+$G$16)^Appraisal!F$6</f>
        <v>0.632900889498303</v>
      </c>
      <c r="H129" s="112" t="n">
        <f aca="false">1/(1+$G$16)^Appraisal!G$6</f>
        <v>0.571726187442008</v>
      </c>
      <c r="I129" s="112" t="n">
        <f aca="false">1/(1+$G$16)^Appraisal!H$6</f>
        <v>0.51646448730082</v>
      </c>
      <c r="J129" s="112" t="n">
        <f aca="false">1/(1+$G$16)^Appraisal!I$6</f>
        <v>0.466544252304264</v>
      </c>
      <c r="K129" s="112" t="n">
        <f aca="false">1/(1+$G$16)^Appraisal!J$6</f>
        <v>0.421449189073409</v>
      </c>
      <c r="L129" s="112" t="n">
        <f aca="false">1/(1+$G$16)^Appraisal!K$6</f>
        <v>0.380712907925392</v>
      </c>
    </row>
    <row r="130" customFormat="false" ht="11.25" hidden="false" customHeight="true" outlineLevel="0" collapsed="false">
      <c r="B130" s="113" t="s">
        <v>115</v>
      </c>
      <c r="C130" s="114" t="n">
        <f aca="false">C128*C129</f>
        <v>-1584.62650442828</v>
      </c>
      <c r="D130" s="114" t="n">
        <f aca="false">D128*D129</f>
        <v>24.8222806947249</v>
      </c>
      <c r="E130" s="114" t="n">
        <f aca="false">E128*E129</f>
        <v>263.796012008339</v>
      </c>
      <c r="F130" s="114" t="n">
        <f aca="false">F128*F129</f>
        <v>238.298113828671</v>
      </c>
      <c r="G130" s="114" t="n">
        <f aca="false">G128*G129</f>
        <v>215.264782139721</v>
      </c>
      <c r="H130" s="114" t="n">
        <f aca="false">H128*H129</f>
        <v>140.143809970535</v>
      </c>
      <c r="I130" s="114" t="n">
        <f aca="false">I128*I129</f>
        <v>175.661967278704</v>
      </c>
      <c r="J130" s="114" t="n">
        <f aca="false">J128*J129</f>
        <v>158.682897270735</v>
      </c>
      <c r="K130" s="114" t="n">
        <f aca="false">K128*K129</f>
        <v>143.344983984404</v>
      </c>
      <c r="L130" s="114" t="n">
        <f aca="false">L128*L129</f>
        <v>232.929294178545</v>
      </c>
    </row>
    <row r="132" customFormat="false" ht="13.5" hidden="false" customHeight="true" outlineLevel="0" collapsed="false">
      <c r="A132" s="107" t="s">
        <v>305</v>
      </c>
      <c r="B132" s="107"/>
      <c r="C132" s="107"/>
      <c r="D132" s="107"/>
      <c r="E132" s="107"/>
      <c r="F132" s="107"/>
      <c r="G132" s="107"/>
      <c r="H132" s="107"/>
      <c r="I132" s="107"/>
      <c r="J132" s="107"/>
      <c r="K132" s="107"/>
    </row>
    <row r="133" customFormat="false" ht="15" hidden="false" customHeight="false" outlineLevel="0" collapsed="false">
      <c r="B133" s="108" t="s">
        <v>201</v>
      </c>
      <c r="C133" s="109" t="s">
        <v>84</v>
      </c>
      <c r="D133" s="109" t="s">
        <v>85</v>
      </c>
      <c r="E133" s="109" t="s">
        <v>86</v>
      </c>
      <c r="F133" s="109" t="s">
        <v>87</v>
      </c>
      <c r="G133" s="109" t="s">
        <v>88</v>
      </c>
      <c r="H133" s="109" t="s">
        <v>89</v>
      </c>
      <c r="I133" s="109" t="s">
        <v>90</v>
      </c>
      <c r="J133" s="109" t="s">
        <v>91</v>
      </c>
      <c r="K133" s="109" t="s">
        <v>92</v>
      </c>
      <c r="L133" s="109" t="s">
        <v>93</v>
      </c>
    </row>
    <row r="134" customFormat="false" ht="11.25" hidden="false" customHeight="true" outlineLevel="0" collapsed="false">
      <c r="B134" s="110" t="s">
        <v>291</v>
      </c>
      <c r="C134" s="111" t="n">
        <f aca="false">MAX(0,MIN(1,(2026-Assumptions!$B$6-$H$17)-1+Assumptions!$B$22))*'Benefits Build'!$E$18*$C$17*$D$17</f>
        <v>0</v>
      </c>
      <c r="D134" s="111" t="n">
        <f aca="false">MAX(0,MIN(1,(2027-Assumptions!$B$6-$H$17)-1+Assumptions!$B$22))*'Benefits Build'!$E$18*$C$17*$D$17</f>
        <v>0</v>
      </c>
      <c r="E134" s="111" t="n">
        <f aca="false">MAX(0,MIN(1,(2028-Assumptions!$B$6-$H$17)-1+Assumptions!$B$22))*'Benefits Build'!$E$18*$C$17*$D$17</f>
        <v>126.684</v>
      </c>
      <c r="F134" s="111" t="n">
        <f aca="false">MAX(0,MIN(1,(2029-Assumptions!$B$6-$H$17)-1+Assumptions!$B$22))*'Benefits Build'!$E$18*$C$17*$D$17</f>
        <v>253.368</v>
      </c>
      <c r="G134" s="111" t="n">
        <f aca="false">MAX(0,MIN(1,(2030-Assumptions!$B$6-$H$17)-1+Assumptions!$B$22))*'Benefits Build'!$E$18*$C$17*$D$17</f>
        <v>253.368</v>
      </c>
      <c r="H134" s="111" t="n">
        <f aca="false">MAX(0,MIN(1,(2031-Assumptions!$B$6-$H$17)-1+Assumptions!$B$22))*'Benefits Build'!$E$18*$C$17*$D$17</f>
        <v>253.368</v>
      </c>
      <c r="I134" s="111" t="n">
        <f aca="false">MAX(0,MIN(1,(2032-Assumptions!$B$6-$H$17)-1+Assumptions!$B$22))*'Benefits Build'!$E$18*$C$17*$D$17</f>
        <v>253.368</v>
      </c>
      <c r="J134" s="111" t="n">
        <f aca="false">MAX(0,MIN(1,(2033-Assumptions!$B$6-$H$17)-1+Assumptions!$B$22))*'Benefits Build'!$E$18*$C$17*$D$17</f>
        <v>253.368</v>
      </c>
      <c r="K134" s="111" t="n">
        <f aca="false">MAX(0,MIN(1,(2034-Assumptions!$B$6-$H$17)-1+Assumptions!$B$22))*'Benefits Build'!$E$18*$C$17*$D$17</f>
        <v>253.368</v>
      </c>
      <c r="L134" s="111" t="n">
        <f aca="false">MAX(0,MIN(1,(2035-Assumptions!$B$6-$H$17)-1+Assumptions!$B$22))*'Benefits Build'!$E$18*$C$17*$D$17</f>
        <v>253.368</v>
      </c>
    </row>
    <row r="135" customFormat="false" ht="11.25" hidden="false" customHeight="true" outlineLevel="0" collapsed="false">
      <c r="B135" s="110" t="s">
        <v>292</v>
      </c>
      <c r="C135" s="111" t="n">
        <f aca="false">MAX(0,MIN(1,(2026-Assumptions!$B$6-$H$17)-1+Assumptions!$B$22))*('Benefits Build'!$I$10*$E$17+'Benefits Build'!$E$27-('Costs &amp; Capex'!$E$22-'Costs &amp; Capex'!$E$18))-IF(2026&gt;=2028,'Costs &amp; Capex'!$E$18,0)</f>
        <v>0</v>
      </c>
      <c r="D135" s="111" t="n">
        <f aca="false">MAX(0,MIN(1,(2027-Assumptions!$B$6-$H$17)-1+Assumptions!$B$22))*('Benefits Build'!$I$10*$E$17+'Benefits Build'!$E$27-('Costs &amp; Capex'!$E$22-'Costs &amp; Capex'!$E$18))-IF(2027&gt;=2028,'Costs &amp; Capex'!$E$18,0)</f>
        <v>0</v>
      </c>
      <c r="E135" s="111" t="n">
        <f aca="false">MAX(0,MIN(1,(2028-Assumptions!$B$6-$H$17)-1+Assumptions!$B$22))*('Benefits Build'!$I$10*$E$17+'Benefits Build'!$E$27-('Costs &amp; Capex'!$E$22-'Costs &amp; Capex'!$E$18))-IF(2028&gt;=2028,'Costs &amp; Capex'!$E$18,0)</f>
        <v>-18.075</v>
      </c>
      <c r="F135" s="111" t="n">
        <f aca="false">MAX(0,MIN(1,(2029-Assumptions!$B$6-$H$17)-1+Assumptions!$B$22))*('Benefits Build'!$I$10*$E$17+'Benefits Build'!$E$27-('Costs &amp; Capex'!$E$22-'Costs &amp; Capex'!$E$18))-IF(2029&gt;=2028,'Costs &amp; Capex'!$E$18,0)</f>
        <v>1.85000000000001</v>
      </c>
      <c r="G135" s="111" t="n">
        <f aca="false">MAX(0,MIN(1,(2030-Assumptions!$B$6-$H$17)-1+Assumptions!$B$22))*('Benefits Build'!$I$10*$E$17+'Benefits Build'!$E$27-('Costs &amp; Capex'!$E$22-'Costs &amp; Capex'!$E$18))-IF(2030&gt;=2028,'Costs &amp; Capex'!$E$18,0)</f>
        <v>1.85000000000001</v>
      </c>
      <c r="H135" s="111" t="n">
        <f aca="false">MAX(0,MIN(1,(2031-Assumptions!$B$6-$H$17)-1+Assumptions!$B$22))*('Benefits Build'!$I$10*$E$17+'Benefits Build'!$E$27-('Costs &amp; Capex'!$E$22-'Costs &amp; Capex'!$E$18))-IF(2031&gt;=2028,'Costs &amp; Capex'!$E$18,0)</f>
        <v>1.85000000000001</v>
      </c>
      <c r="I135" s="111" t="n">
        <f aca="false">MAX(0,MIN(1,(2032-Assumptions!$B$6-$H$17)-1+Assumptions!$B$22))*('Benefits Build'!$I$10*$E$17+'Benefits Build'!$E$27-('Costs &amp; Capex'!$E$22-'Costs &amp; Capex'!$E$18))-IF(2032&gt;=2028,'Costs &amp; Capex'!$E$18,0)</f>
        <v>1.85000000000001</v>
      </c>
      <c r="J135" s="111" t="n">
        <f aca="false">MAX(0,MIN(1,(2033-Assumptions!$B$6-$H$17)-1+Assumptions!$B$22))*('Benefits Build'!$I$10*$E$17+'Benefits Build'!$E$27-('Costs &amp; Capex'!$E$22-'Costs &amp; Capex'!$E$18))-IF(2033&gt;=2028,'Costs &amp; Capex'!$E$18,0)</f>
        <v>1.85000000000001</v>
      </c>
      <c r="K135" s="111" t="n">
        <f aca="false">MAX(0,MIN(1,(2034-Assumptions!$B$6-$H$17)-1+Assumptions!$B$22))*('Benefits Build'!$I$10*$E$17+'Benefits Build'!$E$27-('Costs &amp; Capex'!$E$22-'Costs &amp; Capex'!$E$18))-IF(2034&gt;=2028,'Costs &amp; Capex'!$E$18,0)</f>
        <v>1.85000000000001</v>
      </c>
      <c r="L135" s="111" t="n">
        <f aca="false">MAX(0,MIN(1,(2035-Assumptions!$B$6-$H$17)-1+Assumptions!$B$22))*('Benefits Build'!$I$10*$E$17+'Benefits Build'!$E$27-('Costs &amp; Capex'!$E$22-'Costs &amp; Capex'!$E$18))-IF(2035&gt;=2028,'Costs &amp; Capex'!$E$18,0)</f>
        <v>1.85000000000001</v>
      </c>
    </row>
    <row r="136" customFormat="false" ht="11.25" hidden="false" customHeight="true" outlineLevel="0" collapsed="false">
      <c r="B136" s="110" t="s">
        <v>293</v>
      </c>
      <c r="C136" s="111" t="n">
        <f aca="false">-((C134+C135)-IF(AND(2026&gt;=2027,2026&lt;=2027+'Costs &amp; Capex'!$C$26-1),'Costs &amp; Capex'!$C$27*$F$17,0))*Assumptions!$B$23</f>
        <v>-0</v>
      </c>
      <c r="D136" s="111" t="n">
        <f aca="false">-((D134+D135)-IF(AND(2027&gt;=2027,2027&lt;=2027+'Costs &amp; Capex'!$C$26-1),'Costs &amp; Capex'!$C$27*$F$17,0))*Assumptions!$B$23</f>
        <v>18.084</v>
      </c>
      <c r="E136" s="111" t="n">
        <f aca="false">-((E134+E135)-IF(AND(2028&gt;=2027,2028&lt;=2027+'Costs &amp; Capex'!$C$26-1),'Costs &amp; Capex'!$C$27*$F$17,0))*Assumptions!$B$23</f>
        <v>8.30919</v>
      </c>
      <c r="F136" s="111" t="n">
        <f aca="false">-((F134+F135)-IF(AND(2029&gt;=2027,2029&lt;=2027+'Costs &amp; Capex'!$C$26-1),'Costs &amp; Capex'!$C$27*$F$17,0))*Assumptions!$B$23</f>
        <v>-4.88562000000001</v>
      </c>
      <c r="G136" s="111" t="n">
        <f aca="false">-((G134+G135)-IF(AND(2030&gt;=2027,2030&lt;=2027+'Costs &amp; Capex'!$C$26-1),'Costs &amp; Capex'!$C$27*$F$17,0))*Assumptions!$B$23</f>
        <v>-4.88562000000001</v>
      </c>
      <c r="H136" s="111" t="n">
        <f aca="false">-((H134+H135)-IF(AND(2031&gt;=2027,2031&lt;=2027+'Costs &amp; Capex'!$C$26-1),'Costs &amp; Capex'!$C$27*$F$17,0))*Assumptions!$B$23</f>
        <v>-4.88562000000001</v>
      </c>
      <c r="I136" s="111" t="n">
        <f aca="false">-((I134+I135)-IF(AND(2032&gt;=2027,2032&lt;=2027+'Costs &amp; Capex'!$C$26-1),'Costs &amp; Capex'!$C$27*$F$17,0))*Assumptions!$B$23</f>
        <v>-4.88562000000001</v>
      </c>
      <c r="J136" s="111" t="n">
        <f aca="false">-((J134+J135)-IF(AND(2033&gt;=2027,2033&lt;=2027+'Costs &amp; Capex'!$C$26-1),'Costs &amp; Capex'!$C$27*$F$17,0))*Assumptions!$B$23</f>
        <v>-4.88562000000001</v>
      </c>
      <c r="K136" s="111" t="n">
        <f aca="false">-((K134+K135)-IF(AND(2034&gt;=2027,2034&lt;=2027+'Costs &amp; Capex'!$C$26-1),'Costs &amp; Capex'!$C$27*$F$17,0))*Assumptions!$B$23</f>
        <v>-4.88562000000001</v>
      </c>
      <c r="L136" s="111" t="n">
        <f aca="false">-((L134+L135)-IF(AND(2035&gt;=2027,2035&lt;=2027+'Costs &amp; Capex'!$C$26-1),'Costs &amp; Capex'!$C$27*$F$17,0))*Assumptions!$B$23</f>
        <v>-4.88562000000001</v>
      </c>
    </row>
    <row r="137" customFormat="false" ht="11.25" hidden="false" customHeight="true" outlineLevel="0" collapsed="false">
      <c r="B137" s="110" t="s">
        <v>294</v>
      </c>
      <c r="C137" s="111" t="n">
        <f aca="false">-SUMIFS('Costs &amp; Capex'!$C$6:$C$12,'Costs &amp; Capex'!$E$6:$E$12,2026)*$F$17-IF(2026=Assumptions!$B$26,Assumptions!$B$25,0)+IF(2026=2035,Assumptions!$B$27*$F$17,0)-IF(2026=2027,Assumptions!$B$24,0)+IF(2026=2035,Assumptions!$B$24,0)</f>
        <v>-1930.5</v>
      </c>
      <c r="D137" s="111" t="n">
        <f aca="false">-SUMIFS('Costs &amp; Capex'!$C$6:$C$12,'Costs &amp; Capex'!$E$6:$E$12,2027)*$F$17-IF(2027=Assumptions!$B$26,Assumptions!$B$25,0)+IF(2027=2035,Assumptions!$B$27*$F$17,0)-IF(2027=2027,Assumptions!$B$24,0)+IF(2027=2035,Assumptions!$B$24,0)</f>
        <v>-177.5</v>
      </c>
      <c r="E137" s="111" t="n">
        <f aca="false">-SUMIFS('Costs &amp; Capex'!$C$6:$C$12,'Costs &amp; Capex'!$E$6:$E$12,2028)*$F$17-IF(2028=Assumptions!$B$26,Assumptions!$B$25,0)+IF(2028=2035,Assumptions!$B$27*$F$17,0)-IF(2028=2027,Assumptions!$B$24,0)+IF(2028=2035,Assumptions!$B$24,0)</f>
        <v>0</v>
      </c>
      <c r="F137" s="111" t="n">
        <f aca="false">-SUMIFS('Costs &amp; Capex'!$C$6:$C$12,'Costs &amp; Capex'!$E$6:$E$12,2029)*$F$17-IF(2029=Assumptions!$B$26,Assumptions!$B$25,0)+IF(2029=2035,Assumptions!$B$27*$F$17,0)-IF(2029=2027,Assumptions!$B$24,0)+IF(2029=2035,Assumptions!$B$24,0)</f>
        <v>0</v>
      </c>
      <c r="G137" s="111" t="n">
        <f aca="false">-SUMIFS('Costs &amp; Capex'!$C$6:$C$12,'Costs &amp; Capex'!$E$6:$E$12,2030)*$F$17-IF(2030=Assumptions!$B$26,Assumptions!$B$25,0)+IF(2030=2035,Assumptions!$B$27*$F$17,0)-IF(2030=2027,Assumptions!$B$24,0)+IF(2030=2035,Assumptions!$B$24,0)</f>
        <v>0</v>
      </c>
      <c r="H137" s="111" t="n">
        <f aca="false">-SUMIFS('Costs &amp; Capex'!$C$6:$C$12,'Costs &amp; Capex'!$E$6:$E$12,2031)*$F$17-IF(2031=Assumptions!$B$26,Assumptions!$B$25,0)+IF(2031=2035,Assumptions!$B$27*$F$17,0)-IF(2031=2027,Assumptions!$B$24,0)+IF(2031=2035,Assumptions!$B$24,0)</f>
        <v>-95</v>
      </c>
      <c r="I137" s="111" t="n">
        <f aca="false">-SUMIFS('Costs &amp; Capex'!$C$6:$C$12,'Costs &amp; Capex'!$E$6:$E$12,2032)*$F$17-IF(2032=Assumptions!$B$26,Assumptions!$B$25,0)+IF(2032=2035,Assumptions!$B$27*$F$17,0)-IF(2032=2027,Assumptions!$B$24,0)+IF(2032=2035,Assumptions!$B$24,0)</f>
        <v>0</v>
      </c>
      <c r="J137" s="111" t="n">
        <f aca="false">-SUMIFS('Costs &amp; Capex'!$C$6:$C$12,'Costs &amp; Capex'!$E$6:$E$12,2033)*$F$17-IF(2033=Assumptions!$B$26,Assumptions!$B$25,0)+IF(2033=2035,Assumptions!$B$27*$F$17,0)-IF(2033=2027,Assumptions!$B$24,0)+IF(2033=2035,Assumptions!$B$24,0)</f>
        <v>0</v>
      </c>
      <c r="K137" s="111" t="n">
        <f aca="false">-SUMIFS('Costs &amp; Capex'!$C$6:$C$12,'Costs &amp; Capex'!$E$6:$E$12,2034)*$F$17-IF(2034=Assumptions!$B$26,Assumptions!$B$25,0)+IF(2034=2035,Assumptions!$B$27*$F$17,0)-IF(2034=2027,Assumptions!$B$24,0)+IF(2034=2035,Assumptions!$B$24,0)</f>
        <v>0</v>
      </c>
      <c r="L137" s="111" t="n">
        <f aca="false">-SUMIFS('Costs &amp; Capex'!$C$6:$C$12,'Costs &amp; Capex'!$E$6:$E$12,2035)*$F$17-IF(2035=Assumptions!$B$26,Assumptions!$B$25,0)+IF(2035=2035,Assumptions!$B$27*$F$17,0)-IF(2035=2027,Assumptions!$B$24,0)+IF(2035=2035,Assumptions!$B$24,0)</f>
        <v>299.6</v>
      </c>
    </row>
    <row r="138" customFormat="false" ht="11.25" hidden="false" customHeight="true" outlineLevel="0" collapsed="false">
      <c r="B138" s="110" t="s">
        <v>112</v>
      </c>
      <c r="C138" s="111" t="n">
        <f aca="false">SUM(C134:C137)</f>
        <v>-1930.5</v>
      </c>
      <c r="D138" s="111" t="n">
        <f aca="false">SUM(D134:D137)</f>
        <v>-159.416</v>
      </c>
      <c r="E138" s="111" t="n">
        <f aca="false">SUM(E134:E137)</f>
        <v>116.91819</v>
      </c>
      <c r="F138" s="111" t="n">
        <f aca="false">SUM(F134:F137)</f>
        <v>250.33238</v>
      </c>
      <c r="G138" s="111" t="n">
        <f aca="false">SUM(G134:G137)</f>
        <v>250.33238</v>
      </c>
      <c r="H138" s="111" t="n">
        <f aca="false">SUM(H134:H137)</f>
        <v>155.33238</v>
      </c>
      <c r="I138" s="111" t="n">
        <f aca="false">SUM(I134:I137)</f>
        <v>250.33238</v>
      </c>
      <c r="J138" s="111" t="n">
        <f aca="false">SUM(J134:J137)</f>
        <v>250.33238</v>
      </c>
      <c r="K138" s="111" t="n">
        <f aca="false">SUM(K134:K137)</f>
        <v>250.33238</v>
      </c>
      <c r="L138" s="111" t="n">
        <f aca="false">SUM(L134:L137)</f>
        <v>549.93238</v>
      </c>
    </row>
    <row r="139" customFormat="false" ht="11.25" hidden="false" customHeight="true" outlineLevel="0" collapsed="false">
      <c r="B139" s="110" t="s">
        <v>114</v>
      </c>
      <c r="C139" s="112" t="n">
        <f aca="false">1/(1+$G$17)^Appraisal!B$6</f>
        <v>0.950443247520335</v>
      </c>
      <c r="D139" s="112" t="n">
        <f aca="false">1/(1+$G$17)^Appraisal!C$6</f>
        <v>0.85857565268323</v>
      </c>
      <c r="E139" s="112" t="n">
        <f aca="false">1/(1+$G$17)^Appraisal!D$6</f>
        <v>0.775587762134805</v>
      </c>
      <c r="F139" s="112" t="n">
        <f aca="false">1/(1+$G$17)^Appraisal!E$6</f>
        <v>0.700621284674621</v>
      </c>
      <c r="G139" s="112" t="n">
        <f aca="false">1/(1+$G$17)^Appraisal!F$6</f>
        <v>0.632900889498303</v>
      </c>
      <c r="H139" s="112" t="n">
        <f aca="false">1/(1+$G$17)^Appraisal!G$6</f>
        <v>0.571726187442008</v>
      </c>
      <c r="I139" s="112" t="n">
        <f aca="false">1/(1+$G$17)^Appraisal!H$6</f>
        <v>0.51646448730082</v>
      </c>
      <c r="J139" s="112" t="n">
        <f aca="false">1/(1+$G$17)^Appraisal!I$6</f>
        <v>0.466544252304264</v>
      </c>
      <c r="K139" s="112" t="n">
        <f aca="false">1/(1+$G$17)^Appraisal!J$6</f>
        <v>0.421449189073409</v>
      </c>
      <c r="L139" s="112" t="n">
        <f aca="false">1/(1+$G$17)^Appraisal!K$6</f>
        <v>0.380712907925392</v>
      </c>
    </row>
    <row r="140" customFormat="false" ht="11.25" hidden="false" customHeight="true" outlineLevel="0" collapsed="false">
      <c r="B140" s="113" t="s">
        <v>115</v>
      </c>
      <c r="C140" s="114" t="n">
        <f aca="false">C138*C139</f>
        <v>-1834.83068933801</v>
      </c>
      <c r="D140" s="114" t="n">
        <f aca="false">D138*D139</f>
        <v>-136.87069624815</v>
      </c>
      <c r="E140" s="114" t="n">
        <f aca="false">E138*E139</f>
        <v>90.680317334952</v>
      </c>
      <c r="F140" s="114" t="n">
        <f aca="false">F138*F139</f>
        <v>175.388193671255</v>
      </c>
      <c r="G140" s="114" t="n">
        <f aca="false">G138*G139</f>
        <v>158.435585972227</v>
      </c>
      <c r="H140" s="114" t="n">
        <f aca="false">H138*H139</f>
        <v>88.8075894036932</v>
      </c>
      <c r="I140" s="114" t="n">
        <f aca="false">I138*I139</f>
        <v>129.287784291494</v>
      </c>
      <c r="J140" s="114" t="n">
        <f aca="false">J138*J139</f>
        <v>116.791133054647</v>
      </c>
      <c r="K140" s="114" t="n">
        <f aca="false">K138*K139</f>
        <v>105.502378549817</v>
      </c>
      <c r="L140" s="114" t="n">
        <f aca="false">L138*L139</f>
        <v>209.366355552132</v>
      </c>
    </row>
    <row r="142" customFormat="false" ht="16.5" hidden="false" customHeight="true" outlineLevel="0" collapsed="false">
      <c r="A142" s="10" t="s">
        <v>306</v>
      </c>
      <c r="B142" s="10"/>
      <c r="C142" s="10"/>
      <c r="D142" s="10"/>
      <c r="E142" s="10"/>
      <c r="F142" s="10"/>
      <c r="G142" s="10"/>
      <c r="H142" s="10"/>
      <c r="I142" s="10"/>
      <c r="J142" s="10"/>
      <c r="K142" s="10"/>
    </row>
    <row r="143" customFormat="false" ht="30" hidden="false" customHeight="true" outlineLevel="0" collapsed="false">
      <c r="B143" s="12" t="s">
        <v>307</v>
      </c>
      <c r="C143" s="12" t="s">
        <v>308</v>
      </c>
      <c r="D143" s="12" t="s">
        <v>309</v>
      </c>
      <c r="E143" s="12" t="s">
        <v>310</v>
      </c>
      <c r="F143" s="12" t="s">
        <v>311</v>
      </c>
      <c r="G143" s="12"/>
      <c r="H143" s="12"/>
      <c r="I143" s="12"/>
      <c r="J143" s="12"/>
      <c r="K143" s="12" t="s">
        <v>312</v>
      </c>
    </row>
    <row r="144" customFormat="false" ht="35.25" hidden="false" customHeight="true" outlineLevel="0" collapsed="false">
      <c r="B144" s="105" t="s">
        <v>313</v>
      </c>
      <c r="C144" s="115" t="n">
        <f aca="false">$C$6*'Benefits Build'!$D$19*'Benefits Build'!$C$14/1000</f>
        <v>1019.2</v>
      </c>
      <c r="D144" s="115" t="n">
        <f aca="false">$I$7</f>
        <v>-1545.7886661414</v>
      </c>
      <c r="E144" s="103" t="n">
        <f aca="false">C144*(-D144)/($I$6-D144)</f>
        <v>1067.82224480498</v>
      </c>
      <c r="F144" s="104" t="n">
        <f aca="false">IFERROR(E144/C144,"")</f>
        <v>1.04770628414931</v>
      </c>
      <c r="G144" s="116" t="s">
        <v>314</v>
      </c>
      <c r="H144" s="116"/>
      <c r="I144" s="116"/>
      <c r="J144" s="116"/>
      <c r="K144" s="116"/>
    </row>
    <row r="145" customFormat="false" ht="15.75" hidden="false" customHeight="true" outlineLevel="0" collapsed="false">
      <c r="B145" s="105" t="s">
        <v>315</v>
      </c>
      <c r="C145" s="115" t="n">
        <f aca="false">Assumptions!$B$17</f>
        <v>1830</v>
      </c>
      <c r="D145" s="117"/>
      <c r="E145" s="103" t="n">
        <f aca="false">C145+$I$6</f>
        <v>1759.61402021025</v>
      </c>
      <c r="F145" s="104" t="n">
        <f aca="false">IFERROR(E145/C145,"")</f>
        <v>0.961537715961886</v>
      </c>
      <c r="G145" s="116" t="s">
        <v>316</v>
      </c>
      <c r="H145" s="116"/>
      <c r="I145" s="116"/>
      <c r="J145" s="116"/>
      <c r="K145" s="116"/>
    </row>
    <row r="146" customFormat="false" ht="24.75" hidden="false" customHeight="true" outlineLevel="0" collapsed="false">
      <c r="B146" s="105" t="s">
        <v>317</v>
      </c>
      <c r="C146" s="104" t="n">
        <f aca="false">'Benefits Build'!$C$33</f>
        <v>0.873913043478261</v>
      </c>
      <c r="D146" s="117"/>
      <c r="E146" s="118" t="n">
        <f aca="false">C146*$E$144/$C$144</f>
        <v>0.915604187452224</v>
      </c>
      <c r="F146" s="104" t="n">
        <f aca="false">IFERROR(E146/C146,"")</f>
        <v>1.04770628414931</v>
      </c>
      <c r="G146" s="116" t="s">
        <v>318</v>
      </c>
      <c r="H146" s="116"/>
      <c r="I146" s="116"/>
      <c r="J146" s="116"/>
      <c r="K146" s="116"/>
    </row>
  </sheetData>
  <mergeCells count="21">
    <mergeCell ref="A1:K1"/>
    <mergeCell ref="A2:K2"/>
    <mergeCell ref="A4:K4"/>
    <mergeCell ref="A19:K19"/>
    <mergeCell ref="B20:K20"/>
    <mergeCell ref="A22:K22"/>
    <mergeCell ref="A32:K32"/>
    <mergeCell ref="A42:K42"/>
    <mergeCell ref="A52:K52"/>
    <mergeCell ref="A62:K62"/>
    <mergeCell ref="A72:K72"/>
    <mergeCell ref="A82:K82"/>
    <mergeCell ref="A92:K92"/>
    <mergeCell ref="A102:K102"/>
    <mergeCell ref="A112:K112"/>
    <mergeCell ref="A122:K122"/>
    <mergeCell ref="A132:K132"/>
    <mergeCell ref="A142:K142"/>
    <mergeCell ref="G144:K144"/>
    <mergeCell ref="G145:K145"/>
    <mergeCell ref="G146:K146"/>
  </mergeCells>
  <printOptions headings="false" gridLines="false" gridLinesSet="true" horizontalCentered="false" verticalCentered="false"/>
  <pageMargins left="0.3" right="0.3" top="1" bottom="1" header="0.5" footer="0.5"/>
  <pageSetup paperSize="9" scale="100" fitToWidth="1" fitToHeight="0" pageOrder="downThenOver" orientation="landscape" blackAndWhite="false" draft="false" cellComments="none" horizontalDpi="300" verticalDpi="300" copies="1"/>
  <headerFooter differentFirst="false" differentOddEven="false">
    <oddHeader>&amp;L&amp;"Arial,Bold"&amp;9Halcyon Metalworks Kft.&amp;R&amp;"Arial,Regular"&amp;9CAPITAL INVESTMENT APPRAISAL</oddHeader>
    <oddFooter>&amp;L&amp;"Arial,Regular"&amp;8Illustrative sample, fictional data - prepared by Tarlan Charkasov, ACCA&amp;R&amp;"Arial,Regular"&amp;8Page &amp;P of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2" min="2" style="0" width="14"/>
    <col collapsed="false" customWidth="true" hidden="false" outlineLevel="0" max="3" min="3" style="0" width="12"/>
    <col collapsed="false" customWidth="true" hidden="false" outlineLevel="0" max="4" min="4" style="0" width="78"/>
  </cols>
  <sheetData>
    <row r="1" customFormat="false" ht="24" hidden="false" customHeight="true" outlineLevel="0" collapsed="false">
      <c r="A1" s="32" t="s">
        <v>319</v>
      </c>
      <c r="B1" s="32"/>
      <c r="C1" s="32"/>
      <c r="D1" s="32"/>
    </row>
    <row r="2" customFormat="false" ht="76.5" hidden="false" customHeight="true" outlineLevel="0" collapsed="false">
      <c r="A2" s="33" t="s">
        <v>320</v>
      </c>
      <c r="B2" s="33"/>
      <c r="C2" s="33"/>
      <c r="D2" s="33"/>
    </row>
    <row r="4" customFormat="false" ht="16.5" hidden="false" customHeight="true" outlineLevel="0" collapsed="false">
      <c r="A4" s="10" t="s">
        <v>321</v>
      </c>
      <c r="B4" s="10"/>
      <c r="C4" s="10"/>
      <c r="D4" s="10"/>
    </row>
    <row r="5" customFormat="false" ht="15.75" hidden="false" customHeight="true" outlineLevel="0" collapsed="false">
      <c r="A5" s="55" t="s">
        <v>322</v>
      </c>
      <c r="B5" s="119" t="n">
        <v>0.025</v>
      </c>
      <c r="C5" s="120" t="s">
        <v>323</v>
      </c>
      <c r="D5" s="121" t="s">
        <v>324</v>
      </c>
    </row>
    <row r="6" customFormat="false" ht="15.75" hidden="false" customHeight="true" outlineLevel="0" collapsed="false">
      <c r="A6" s="55" t="s">
        <v>325</v>
      </c>
      <c r="B6" s="119" t="n">
        <v>0.019</v>
      </c>
      <c r="C6" s="120" t="s">
        <v>323</v>
      </c>
      <c r="D6" s="121" t="s">
        <v>326</v>
      </c>
    </row>
    <row r="7" customFormat="false" ht="15.75" hidden="false" customHeight="true" outlineLevel="0" collapsed="false">
      <c r="A7" s="55" t="s">
        <v>327</v>
      </c>
      <c r="B7" s="119" t="n">
        <v>0.055</v>
      </c>
      <c r="C7" s="120" t="s">
        <v>323</v>
      </c>
      <c r="D7" s="121" t="s">
        <v>328</v>
      </c>
    </row>
    <row r="8" customFormat="false" ht="15.75" hidden="false" customHeight="true" outlineLevel="0" collapsed="false">
      <c r="A8" s="55" t="s">
        <v>329</v>
      </c>
      <c r="B8" s="122" t="n">
        <v>0.95</v>
      </c>
      <c r="C8" s="120" t="s">
        <v>330</v>
      </c>
      <c r="D8" s="121" t="s">
        <v>331</v>
      </c>
    </row>
    <row r="9" customFormat="false" ht="15.75" hidden="false" customHeight="true" outlineLevel="0" collapsed="false">
      <c r="A9" s="55" t="s">
        <v>332</v>
      </c>
      <c r="B9" s="119" t="n">
        <v>0.35</v>
      </c>
      <c r="C9" s="120" t="s">
        <v>333</v>
      </c>
      <c r="D9" s="121" t="s">
        <v>334</v>
      </c>
    </row>
    <row r="10" customFormat="false" ht="15.75" hidden="false" customHeight="true" outlineLevel="0" collapsed="false">
      <c r="A10" s="55" t="s">
        <v>335</v>
      </c>
      <c r="B10" s="123" t="n">
        <f aca="false">WACC!$B$8*(1+(1-Assumptions!$B$23)*(WACC!$B$9/(1-WACC!$B$9)))</f>
        <v>1.4155</v>
      </c>
      <c r="C10" s="120" t="s">
        <v>330</v>
      </c>
      <c r="D10" s="121" t="s">
        <v>336</v>
      </c>
    </row>
    <row r="11" customFormat="false" ht="15.75" hidden="false" customHeight="true" outlineLevel="0" collapsed="false">
      <c r="A11" s="55" t="s">
        <v>337</v>
      </c>
      <c r="B11" s="119" t="n">
        <v>0.015</v>
      </c>
      <c r="C11" s="120" t="s">
        <v>323</v>
      </c>
      <c r="D11" s="121" t="s">
        <v>338</v>
      </c>
    </row>
    <row r="12" customFormat="false" ht="15.75" hidden="false" customHeight="true" outlineLevel="0" collapsed="false">
      <c r="A12" s="52" t="s">
        <v>339</v>
      </c>
      <c r="B12" s="124" t="n">
        <f aca="false">WACC!$B$5+WACC!$B$6+WACC!$B$10*WACC!$B$7+WACC!$B$11</f>
        <v>0.1368525</v>
      </c>
      <c r="C12" s="120" t="s">
        <v>323</v>
      </c>
      <c r="D12" s="121" t="s">
        <v>340</v>
      </c>
    </row>
    <row r="14" customFormat="false" ht="16.5" hidden="false" customHeight="true" outlineLevel="0" collapsed="false">
      <c r="A14" s="10" t="s">
        <v>341</v>
      </c>
      <c r="B14" s="10"/>
      <c r="C14" s="10"/>
      <c r="D14" s="10"/>
    </row>
    <row r="15" customFormat="false" ht="25.5" hidden="false" customHeight="true" outlineLevel="0" collapsed="false">
      <c r="A15" s="55" t="s">
        <v>342</v>
      </c>
      <c r="B15" s="119" t="n">
        <v>0.056</v>
      </c>
      <c r="C15" s="120" t="s">
        <v>323</v>
      </c>
      <c r="D15" s="121" t="s">
        <v>343</v>
      </c>
    </row>
    <row r="16" customFormat="false" ht="15.75" hidden="false" customHeight="true" outlineLevel="0" collapsed="false">
      <c r="A16" s="55" t="s">
        <v>344</v>
      </c>
      <c r="B16" s="118" t="n">
        <f aca="false">Assumptions!$B$23</f>
        <v>0.09</v>
      </c>
      <c r="C16" s="120" t="s">
        <v>333</v>
      </c>
      <c r="D16" s="121" t="s">
        <v>345</v>
      </c>
    </row>
    <row r="17" customFormat="false" ht="15.75" hidden="false" customHeight="true" outlineLevel="0" collapsed="false">
      <c r="A17" s="52" t="s">
        <v>346</v>
      </c>
      <c r="B17" s="124" t="n">
        <f aca="false">WACC!$B$15*(1-WACC!$B$16)</f>
        <v>0.05096</v>
      </c>
      <c r="C17" s="120" t="s">
        <v>323</v>
      </c>
      <c r="D17" s="121" t="s">
        <v>347</v>
      </c>
    </row>
    <row r="19" customFormat="false" ht="16.5" hidden="false" customHeight="true" outlineLevel="0" collapsed="false">
      <c r="A19" s="10" t="s">
        <v>348</v>
      </c>
      <c r="B19" s="10"/>
      <c r="C19" s="10"/>
      <c r="D19" s="10"/>
    </row>
    <row r="20" customFormat="false" ht="15.75" hidden="false" customHeight="true" outlineLevel="0" collapsed="false">
      <c r="A20" s="55" t="s">
        <v>349</v>
      </c>
      <c r="B20" s="118" t="n">
        <f aca="false">1-WACC!$B$9</f>
        <v>0.65</v>
      </c>
      <c r="C20" s="120" t="s">
        <v>333</v>
      </c>
      <c r="D20" s="121"/>
    </row>
    <row r="21" customFormat="false" ht="15.75" hidden="false" customHeight="true" outlineLevel="0" collapsed="false">
      <c r="A21" s="55" t="s">
        <v>350</v>
      </c>
      <c r="B21" s="118" t="n">
        <f aca="false">WACC!$B$9</f>
        <v>0.35</v>
      </c>
      <c r="C21" s="120" t="s">
        <v>333</v>
      </c>
      <c r="D21" s="121"/>
    </row>
    <row r="22" customFormat="false" ht="15.75" hidden="false" customHeight="true" outlineLevel="0" collapsed="false">
      <c r="A22" s="52" t="s">
        <v>351</v>
      </c>
      <c r="B22" s="124" t="n">
        <f aca="false">ROUND((WACC!$B$20*WACC!$B$12+WACC!$B$21*WACC!$B$17)*1000,0)/1000</f>
        <v>0.107</v>
      </c>
      <c r="C22" s="120" t="s">
        <v>323</v>
      </c>
      <c r="D22" s="121" t="s">
        <v>352</v>
      </c>
    </row>
    <row r="23" customFormat="false" ht="25.5" hidden="false" customHeight="true" outlineLevel="0" collapsed="false">
      <c r="A23" s="55" t="s">
        <v>353</v>
      </c>
      <c r="B23" s="119" t="n">
        <v>0.12</v>
      </c>
      <c r="C23" s="120" t="s">
        <v>323</v>
      </c>
      <c r="D23" s="121" t="s">
        <v>354</v>
      </c>
    </row>
    <row r="25" customFormat="false" ht="33.75" hidden="false" customHeight="true" outlineLevel="0" collapsed="false">
      <c r="A25" s="125" t="s">
        <v>355</v>
      </c>
      <c r="B25" s="125"/>
      <c r="C25" s="125"/>
      <c r="D25" s="125"/>
    </row>
  </sheetData>
  <mergeCells count="6">
    <mergeCell ref="A1:D1"/>
    <mergeCell ref="A2:D2"/>
    <mergeCell ref="A4:D4"/>
    <mergeCell ref="A14:D14"/>
    <mergeCell ref="A19:D19"/>
    <mergeCell ref="A25:D25"/>
  </mergeCells>
  <printOptions headings="false" gridLines="false" gridLinesSet="true" horizontalCentered="false" verticalCentered="false"/>
  <pageMargins left="0.3" right="0.3" top="1" bottom="1" header="0.5" footer="0.5"/>
  <pageSetup paperSize="9" scale="100" fitToWidth="1" fitToHeight="1" pageOrder="downThenOver" orientation="portrait" blackAndWhite="false" draft="false" cellComments="none" horizontalDpi="300" verticalDpi="300" copies="1"/>
  <headerFooter differentFirst="false" differentOddEven="false">
    <oddHeader>&amp;L&amp;"Arial,Bold"&amp;9Halcyon Metalworks Kft.&amp;R&amp;"Arial,Regular"&amp;9CAPITAL INVESTMENT APPRAISAL</oddHeader>
    <oddFooter>&amp;L&amp;"Arial,Regular"&amp;8Illustrative sample, fictional data - prepared by Tarlan Charkasov, ACCA&amp;R&amp;"Arial,Regular"&amp;8Page &amp;P of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4"/>
    <col collapsed="false" customWidth="true" hidden="false" outlineLevel="0" max="2" min="2" style="0" width="15"/>
    <col collapsed="false" customWidth="true" hidden="false" outlineLevel="0" max="3" min="3" style="0" width="13"/>
    <col collapsed="false" customWidth="true" hidden="false" outlineLevel="0" max="4" min="4" style="0" width="76"/>
  </cols>
  <sheetData>
    <row r="1" customFormat="false" ht="24" hidden="false" customHeight="true" outlineLevel="0" collapsed="false">
      <c r="A1" s="32" t="s">
        <v>356</v>
      </c>
      <c r="B1" s="32"/>
      <c r="C1" s="32"/>
      <c r="D1" s="32"/>
    </row>
    <row r="2" customFormat="false" ht="76.5" hidden="false" customHeight="true" outlineLevel="0" collapsed="false">
      <c r="A2" s="33" t="s">
        <v>357</v>
      </c>
      <c r="B2" s="33"/>
      <c r="C2" s="33"/>
      <c r="D2" s="33"/>
    </row>
    <row r="4" customFormat="false" ht="16.5" hidden="false" customHeight="true" outlineLevel="0" collapsed="false">
      <c r="A4" s="10" t="s">
        <v>358</v>
      </c>
      <c r="B4" s="10"/>
      <c r="C4" s="10"/>
      <c r="D4" s="10"/>
    </row>
    <row r="5" customFormat="false" ht="15.75" hidden="false" customHeight="true" outlineLevel="0" collapsed="false">
      <c r="A5" s="55" t="s">
        <v>6</v>
      </c>
      <c r="B5" s="126" t="n">
        <v>46227</v>
      </c>
      <c r="C5" s="120" t="s">
        <v>359</v>
      </c>
      <c r="D5" s="121" t="s">
        <v>360</v>
      </c>
    </row>
    <row r="6" customFormat="false" ht="15.75" hidden="false" customHeight="true" outlineLevel="0" collapsed="false">
      <c r="A6" s="55" t="s">
        <v>361</v>
      </c>
      <c r="B6" s="79" t="n">
        <v>2026</v>
      </c>
      <c r="C6" s="120" t="s">
        <v>201</v>
      </c>
      <c r="D6" s="121" t="s">
        <v>362</v>
      </c>
    </row>
    <row r="7" customFormat="false" ht="25.5" hidden="false" customHeight="true" outlineLevel="0" collapsed="false">
      <c r="A7" s="55" t="s">
        <v>363</v>
      </c>
      <c r="B7" s="79" t="n">
        <v>10</v>
      </c>
      <c r="C7" s="120" t="s">
        <v>364</v>
      </c>
      <c r="D7" s="121" t="s">
        <v>365</v>
      </c>
    </row>
    <row r="8" customFormat="false" ht="25.5" hidden="false" customHeight="true" outlineLevel="0" collapsed="false">
      <c r="A8" s="55" t="s">
        <v>366</v>
      </c>
      <c r="B8" s="127" t="n">
        <v>2</v>
      </c>
      <c r="C8" s="120" t="s">
        <v>367</v>
      </c>
      <c r="D8" s="121" t="s">
        <v>368</v>
      </c>
    </row>
    <row r="9" customFormat="false" ht="25.5" hidden="false" customHeight="true" outlineLevel="0" collapsed="false">
      <c r="A9" s="55" t="s">
        <v>369</v>
      </c>
      <c r="B9" s="127" t="n">
        <v>1</v>
      </c>
      <c r="C9" s="120" t="s">
        <v>370</v>
      </c>
      <c r="D9" s="121" t="s">
        <v>371</v>
      </c>
    </row>
    <row r="11" customFormat="false" ht="16.5" hidden="false" customHeight="true" outlineLevel="0" collapsed="false">
      <c r="A11" s="10" t="s">
        <v>372</v>
      </c>
      <c r="B11" s="10"/>
      <c r="C11" s="10"/>
      <c r="D11" s="10"/>
    </row>
    <row r="12" customFormat="false" ht="25.5" hidden="false" customHeight="true" outlineLevel="0" collapsed="false">
      <c r="A12" s="55" t="s">
        <v>373</v>
      </c>
      <c r="B12" s="128" t="n">
        <v>1550</v>
      </c>
      <c r="C12" s="120" t="s">
        <v>374</v>
      </c>
      <c r="D12" s="121" t="s">
        <v>375</v>
      </c>
    </row>
    <row r="13" customFormat="false" ht="15.75" hidden="false" customHeight="true" outlineLevel="0" collapsed="false">
      <c r="A13" s="55" t="s">
        <v>215</v>
      </c>
      <c r="B13" s="128" t="n">
        <v>85</v>
      </c>
      <c r="C13" s="120" t="s">
        <v>374</v>
      </c>
      <c r="D13" s="121" t="s">
        <v>376</v>
      </c>
    </row>
    <row r="14" customFormat="false" ht="15.75" hidden="false" customHeight="true" outlineLevel="0" collapsed="false">
      <c r="A14" s="55" t="s">
        <v>217</v>
      </c>
      <c r="B14" s="128" t="n">
        <v>120</v>
      </c>
      <c r="C14" s="120" t="s">
        <v>374</v>
      </c>
      <c r="D14" s="121" t="s">
        <v>377</v>
      </c>
    </row>
    <row r="15" customFormat="false" ht="15.75" hidden="false" customHeight="true" outlineLevel="0" collapsed="false">
      <c r="A15" s="55" t="s">
        <v>219</v>
      </c>
      <c r="B15" s="128" t="n">
        <v>35</v>
      </c>
      <c r="C15" s="120" t="s">
        <v>374</v>
      </c>
      <c r="D15" s="121" t="s">
        <v>378</v>
      </c>
    </row>
    <row r="16" customFormat="false" ht="15.75" hidden="false" customHeight="true" outlineLevel="0" collapsed="false">
      <c r="A16" s="55" t="s">
        <v>379</v>
      </c>
      <c r="B16" s="128" t="n">
        <v>40</v>
      </c>
      <c r="C16" s="120" t="s">
        <v>374</v>
      </c>
      <c r="D16" s="121" t="s">
        <v>380</v>
      </c>
    </row>
    <row r="17" customFormat="false" ht="15" hidden="false" customHeight="false" outlineLevel="0" collapsed="false">
      <c r="A17" s="52" t="s">
        <v>223</v>
      </c>
      <c r="B17" s="92" t="n">
        <f aca="false">SUM(B12:B16)</f>
        <v>1830</v>
      </c>
      <c r="C17" s="120" t="s">
        <v>374</v>
      </c>
      <c r="D17" s="96" t="s">
        <v>381</v>
      </c>
    </row>
    <row r="19" customFormat="false" ht="16.5" hidden="false" customHeight="true" outlineLevel="0" collapsed="false">
      <c r="A19" s="10" t="s">
        <v>382</v>
      </c>
      <c r="B19" s="10"/>
      <c r="C19" s="10"/>
      <c r="D19" s="10"/>
    </row>
    <row r="20" customFormat="false" ht="25.5" hidden="false" customHeight="true" outlineLevel="0" collapsed="false">
      <c r="A20" s="55" t="s">
        <v>383</v>
      </c>
      <c r="B20" s="129" t="n">
        <v>4600</v>
      </c>
      <c r="C20" s="120" t="s">
        <v>384</v>
      </c>
      <c r="D20" s="121" t="s">
        <v>385</v>
      </c>
    </row>
    <row r="21" customFormat="false" ht="25.5" hidden="false" customHeight="true" outlineLevel="0" collapsed="false">
      <c r="A21" s="55" t="s">
        <v>386</v>
      </c>
      <c r="B21" s="130" t="n">
        <v>41</v>
      </c>
      <c r="C21" s="120" t="s">
        <v>387</v>
      </c>
      <c r="D21" s="121" t="s">
        <v>388</v>
      </c>
    </row>
    <row r="22" customFormat="false" ht="25.5" hidden="false" customHeight="true" outlineLevel="0" collapsed="false">
      <c r="A22" s="55" t="s">
        <v>389</v>
      </c>
      <c r="B22" s="131" t="n">
        <v>0.5</v>
      </c>
      <c r="C22" s="120" t="s">
        <v>390</v>
      </c>
      <c r="D22" s="121" t="s">
        <v>391</v>
      </c>
    </row>
    <row r="23" customFormat="false" ht="25.5" hidden="false" customHeight="true" outlineLevel="0" collapsed="false">
      <c r="A23" s="55" t="s">
        <v>392</v>
      </c>
      <c r="B23" s="131" t="n">
        <v>0.09</v>
      </c>
      <c r="C23" s="120" t="s">
        <v>333</v>
      </c>
      <c r="D23" s="121" t="s">
        <v>393</v>
      </c>
    </row>
    <row r="24" customFormat="false" ht="25.5" hidden="false" customHeight="true" outlineLevel="0" collapsed="false">
      <c r="A24" s="55" t="s">
        <v>394</v>
      </c>
      <c r="B24" s="128" t="n">
        <v>95</v>
      </c>
      <c r="C24" s="120" t="s">
        <v>374</v>
      </c>
      <c r="D24" s="121" t="s">
        <v>395</v>
      </c>
    </row>
    <row r="25" customFormat="false" ht="15.75" hidden="false" customHeight="true" outlineLevel="0" collapsed="false">
      <c r="A25" s="55" t="s">
        <v>110</v>
      </c>
      <c r="B25" s="128" t="n">
        <v>95</v>
      </c>
      <c r="C25" s="120" t="s">
        <v>374</v>
      </c>
      <c r="D25" s="121" t="s">
        <v>396</v>
      </c>
    </row>
    <row r="26" customFormat="false" ht="15.75" hidden="false" customHeight="true" outlineLevel="0" collapsed="false">
      <c r="A26" s="55" t="s">
        <v>397</v>
      </c>
      <c r="B26" s="79" t="n">
        <v>2031</v>
      </c>
      <c r="C26" s="120" t="s">
        <v>201</v>
      </c>
      <c r="D26" s="121" t="s">
        <v>398</v>
      </c>
    </row>
    <row r="27" customFormat="false" ht="25.5" hidden="false" customHeight="true" outlineLevel="0" collapsed="false">
      <c r="A27" s="55" t="s">
        <v>77</v>
      </c>
      <c r="B27" s="128" t="n">
        <v>186</v>
      </c>
      <c r="C27" s="120" t="s">
        <v>374</v>
      </c>
      <c r="D27" s="121" t="s">
        <v>399</v>
      </c>
    </row>
    <row r="29" customFormat="false" ht="16.5" hidden="false" customHeight="true" outlineLevel="0" collapsed="false">
      <c r="A29" s="10" t="s">
        <v>400</v>
      </c>
      <c r="B29" s="10"/>
      <c r="C29" s="10"/>
      <c r="D29" s="10"/>
    </row>
    <row r="30" customFormat="false" ht="36.75" hidden="false" customHeight="true" outlineLevel="0" collapsed="false">
      <c r="A30" s="55" t="s">
        <v>401</v>
      </c>
      <c r="B30" s="132" t="n">
        <v>29</v>
      </c>
      <c r="C30" s="133" t="s">
        <v>402</v>
      </c>
      <c r="D30" s="121" t="s">
        <v>403</v>
      </c>
    </row>
    <row r="31" customFormat="false" ht="25.5" hidden="false" customHeight="true" outlineLevel="0" collapsed="false">
      <c r="A31" s="55" t="s">
        <v>404</v>
      </c>
      <c r="B31" s="132" t="n">
        <v>34</v>
      </c>
      <c r="C31" s="133" t="s">
        <v>402</v>
      </c>
      <c r="D31" s="121" t="s">
        <v>405</v>
      </c>
    </row>
    <row r="32" customFormat="false" ht="15.75" hidden="false" customHeight="true" outlineLevel="0" collapsed="false">
      <c r="A32" s="55" t="s">
        <v>406</v>
      </c>
      <c r="B32" s="132" t="n">
        <v>11</v>
      </c>
      <c r="C32" s="133" t="s">
        <v>402</v>
      </c>
      <c r="D32" s="121" t="s">
        <v>407</v>
      </c>
    </row>
    <row r="33" customFormat="false" ht="36.75" hidden="false" customHeight="true" outlineLevel="0" collapsed="false">
      <c r="A33" s="55" t="s">
        <v>408</v>
      </c>
      <c r="B33" s="132"/>
      <c r="C33" s="133" t="s">
        <v>409</v>
      </c>
      <c r="D33" s="121" t="s">
        <v>410</v>
      </c>
    </row>
    <row r="34" customFormat="false" ht="24" hidden="false" customHeight="true" outlineLevel="0" collapsed="false">
      <c r="A34" s="40" t="s">
        <v>411</v>
      </c>
      <c r="B34" s="92" t="n">
        <f aca="false">SUM(B30:B33)</f>
        <v>74</v>
      </c>
      <c r="D34" s="134" t="s">
        <v>412</v>
      </c>
    </row>
    <row r="36" customFormat="false" ht="16.5" hidden="false" customHeight="true" outlineLevel="0" collapsed="false">
      <c r="A36" s="10" t="s">
        <v>413</v>
      </c>
      <c r="B36" s="10"/>
      <c r="C36" s="10"/>
      <c r="D36" s="10"/>
    </row>
    <row r="37" customFormat="false" ht="15.75" hidden="false" customHeight="true" outlineLevel="0" collapsed="false">
      <c r="A37" s="135" t="s">
        <v>414</v>
      </c>
      <c r="B37" s="106" t="s">
        <v>415</v>
      </c>
      <c r="C37" s="106"/>
      <c r="D37" s="106"/>
    </row>
    <row r="38" customFormat="false" ht="25.5" hidden="false" customHeight="true" outlineLevel="0" collapsed="false">
      <c r="A38" s="135" t="s">
        <v>414</v>
      </c>
      <c r="B38" s="106" t="s">
        <v>416</v>
      </c>
      <c r="C38" s="106"/>
      <c r="D38" s="106"/>
    </row>
    <row r="39" customFormat="false" ht="15.75" hidden="false" customHeight="true" outlineLevel="0" collapsed="false">
      <c r="A39" s="135" t="s">
        <v>414</v>
      </c>
      <c r="B39" s="106" t="s">
        <v>417</v>
      </c>
      <c r="C39" s="106"/>
      <c r="D39" s="106"/>
    </row>
    <row r="40" customFormat="false" ht="25.5" hidden="false" customHeight="true" outlineLevel="0" collapsed="false">
      <c r="A40" s="135" t="s">
        <v>414</v>
      </c>
      <c r="B40" s="106" t="s">
        <v>418</v>
      </c>
      <c r="C40" s="106"/>
      <c r="D40" s="106"/>
    </row>
    <row r="41" customFormat="false" ht="25.5" hidden="false" customHeight="true" outlineLevel="0" collapsed="false">
      <c r="A41" s="135" t="s">
        <v>414</v>
      </c>
      <c r="B41" s="106" t="s">
        <v>419</v>
      </c>
      <c r="C41" s="106"/>
      <c r="D41" s="106"/>
    </row>
    <row r="42" customFormat="false" ht="15.75" hidden="false" customHeight="true" outlineLevel="0" collapsed="false">
      <c r="A42" s="135" t="s">
        <v>414</v>
      </c>
      <c r="B42" s="106" t="s">
        <v>420</v>
      </c>
      <c r="C42" s="106"/>
      <c r="D42" s="106"/>
    </row>
  </sheetData>
  <mergeCells count="13">
    <mergeCell ref="A1:D1"/>
    <mergeCell ref="A2:D2"/>
    <mergeCell ref="A4:D4"/>
    <mergeCell ref="A11:D11"/>
    <mergeCell ref="A19:D19"/>
    <mergeCell ref="A29:D29"/>
    <mergeCell ref="A36:D36"/>
    <mergeCell ref="B37:D37"/>
    <mergeCell ref="B38:D38"/>
    <mergeCell ref="B39:D39"/>
    <mergeCell ref="B40:D40"/>
    <mergeCell ref="B41:D41"/>
    <mergeCell ref="B42:D42"/>
  </mergeCells>
  <printOptions headings="false" gridLines="false" gridLinesSet="true" horizontalCentered="false" verticalCentered="false"/>
  <pageMargins left="0.3" right="0.3" top="1" bottom="1" header="0.5" footer="0.5"/>
  <pageSetup paperSize="9" scale="100" fitToWidth="1" fitToHeight="0" pageOrder="downThenOver" orientation="portrait" blackAndWhite="false" draft="false" cellComments="none" horizontalDpi="300" verticalDpi="300" copies="1"/>
  <headerFooter differentFirst="false" differentOddEven="false">
    <oddHeader>&amp;L&amp;"Arial,Bold"&amp;9Halcyon Metalworks Kft.&amp;R&amp;"Arial,Regular"&amp;9CAPITAL INVESTMENT APPRAISAL</oddHeader>
    <oddFooter>&amp;L&amp;"Arial,Regular"&amp;8Illustrative sample, fictional data - prepared by Tarlan Charkasov, ACCA&amp;R&amp;"Arial,Regular"&amp;8Page &amp;P of &amp;N</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G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58"/>
    <col collapsed="false" customWidth="true" hidden="false" outlineLevel="0" max="4" min="3" style="0" width="15"/>
    <col collapsed="false" customWidth="true" hidden="false" outlineLevel="0" max="5" min="5" style="0" width="13"/>
    <col collapsed="false" customWidth="true" hidden="false" outlineLevel="0" max="6" min="6" style="0" width="12"/>
    <col collapsed="false" customWidth="true" hidden="false" outlineLevel="0" max="7" min="7" style="0" width="60"/>
  </cols>
  <sheetData>
    <row r="1" customFormat="false" ht="24" hidden="false" customHeight="true" outlineLevel="0" collapsed="false">
      <c r="A1" s="32" t="s">
        <v>421</v>
      </c>
      <c r="B1" s="32"/>
      <c r="C1" s="32"/>
      <c r="D1" s="32"/>
      <c r="E1" s="32"/>
      <c r="F1" s="32"/>
      <c r="G1" s="32"/>
    </row>
    <row r="2" customFormat="false" ht="30.75" hidden="false" customHeight="true" outlineLevel="0" collapsed="false">
      <c r="A2" s="33" t="s">
        <v>422</v>
      </c>
      <c r="B2" s="33"/>
      <c r="C2" s="33"/>
      <c r="D2" s="33"/>
      <c r="E2" s="33"/>
      <c r="F2" s="33"/>
      <c r="G2" s="33"/>
    </row>
    <row r="4" customFormat="false" ht="15" hidden="false" customHeight="false" outlineLevel="0" collapsed="false">
      <c r="B4" s="7" t="s">
        <v>423</v>
      </c>
      <c r="C4" s="136" t="str">
        <f aca="false">IF(COUNTIF($F$7:$F$22,"OK")=16,"ALL CHECKS OK","EXCEPTIONS - DO NOT ISSUE")</f>
        <v>ALL CHECKS OK</v>
      </c>
      <c r="D4" s="136"/>
      <c r="E4" s="137" t="str">
        <f aca="false">COUNTIF($F$7:$F$22,"OK")&amp;" of 16 checks passed"</f>
        <v>16 of 16 checks passed</v>
      </c>
      <c r="F4" s="137"/>
      <c r="G4" s="137"/>
    </row>
    <row r="6" customFormat="false" ht="19.5" hidden="false" customHeight="true" outlineLevel="0" collapsed="false">
      <c r="B6" s="12" t="s">
        <v>424</v>
      </c>
      <c r="C6" s="12" t="s">
        <v>425</v>
      </c>
      <c r="D6" s="12" t="s">
        <v>426</v>
      </c>
      <c r="E6" s="12" t="s">
        <v>427</v>
      </c>
      <c r="F6" s="12" t="s">
        <v>428</v>
      </c>
      <c r="G6" s="12" t="s">
        <v>429</v>
      </c>
    </row>
    <row r="7" customFormat="false" ht="16.5" hidden="false" customHeight="true" outlineLevel="0" collapsed="false">
      <c r="A7" s="62" t="n">
        <v>1</v>
      </c>
      <c r="B7" s="138" t="s">
        <v>430</v>
      </c>
      <c r="C7" s="139" t="n">
        <f aca="false">Assumptions!$B$17</f>
        <v>1830</v>
      </c>
      <c r="D7" s="139" t="n">
        <f aca="false">'Costs &amp; Capex'!$C$13</f>
        <v>1830</v>
      </c>
      <c r="E7" s="139" t="n">
        <f aca="false">C7-D7</f>
        <v>0</v>
      </c>
      <c r="F7" s="140" t="str">
        <f aca="false">IF(ABS(E7)&lt;0.01,"OK","CHECK")</f>
        <v>OK</v>
      </c>
      <c r="G7" s="70" t="s">
        <v>431</v>
      </c>
    </row>
    <row r="8" customFormat="false" ht="16.5" hidden="false" customHeight="true" outlineLevel="0" collapsed="false">
      <c r="A8" s="62" t="n">
        <v>2</v>
      </c>
      <c r="B8" s="138" t="s">
        <v>432</v>
      </c>
      <c r="C8" s="139" t="n">
        <f aca="false">-SUM(Appraisal!$B$22:$K$22)</f>
        <v>1830</v>
      </c>
      <c r="D8" s="139" t="n">
        <f aca="false">'Costs &amp; Capex'!$C$13</f>
        <v>1830</v>
      </c>
      <c r="E8" s="139" t="n">
        <f aca="false">C8-D8</f>
        <v>0</v>
      </c>
      <c r="F8" s="140" t="str">
        <f aca="false">IF(ABS(E8)&lt;0.01,"OK","CHECK")</f>
        <v>OK</v>
      </c>
      <c r="G8" s="70" t="s">
        <v>433</v>
      </c>
    </row>
    <row r="9" customFormat="false" ht="27" hidden="false" customHeight="true" outlineLevel="0" collapsed="false">
      <c r="A9" s="62" t="n">
        <v>3</v>
      </c>
      <c r="B9" s="138" t="s">
        <v>434</v>
      </c>
      <c r="C9" s="139" t="n">
        <f aca="false">-SUM(Appraisal!$B$16:$K$16)</f>
        <v>1644</v>
      </c>
      <c r="D9" s="139" t="n">
        <f aca="false">Assumptions!$B$17-Assumptions!$B$27</f>
        <v>1644</v>
      </c>
      <c r="E9" s="139" t="n">
        <f aca="false">C9-D9</f>
        <v>0</v>
      </c>
      <c r="F9" s="140" t="str">
        <f aca="false">IF(ABS(E9)&lt;0.01,"OK","CHECK")</f>
        <v>OK</v>
      </c>
      <c r="G9" s="70" t="s">
        <v>435</v>
      </c>
    </row>
    <row r="10" customFormat="false" ht="16.5" hidden="false" customHeight="true" outlineLevel="0" collapsed="false">
      <c r="A10" s="62" t="n">
        <v>4</v>
      </c>
      <c r="B10" s="138" t="s">
        <v>436</v>
      </c>
      <c r="C10" s="139" t="n">
        <f aca="false">SUM(Appraisal!$B$25:$K$25)</f>
        <v>0</v>
      </c>
      <c r="D10" s="139" t="n">
        <f aca="false">0</f>
        <v>0</v>
      </c>
      <c r="E10" s="139" t="n">
        <f aca="false">C10-D10</f>
        <v>0</v>
      </c>
      <c r="F10" s="140" t="str">
        <f aca="false">IF(ABS(E10)&lt;0.01,"OK","CHECK")</f>
        <v>OK</v>
      </c>
      <c r="G10" s="70" t="s">
        <v>437</v>
      </c>
    </row>
    <row r="11" customFormat="false" ht="16.5" hidden="false" customHeight="true" outlineLevel="0" collapsed="false">
      <c r="A11" s="62" t="n">
        <v>5</v>
      </c>
      <c r="B11" s="138" t="s">
        <v>438</v>
      </c>
      <c r="C11" s="139" t="n">
        <f aca="false">SUM(Appraisal!$B$26:$K$26)</f>
        <v>1184.551</v>
      </c>
      <c r="D11" s="139" t="n">
        <f aca="false">SUM(Appraisal!$B$20:$K$25)</f>
        <v>1184.551</v>
      </c>
      <c r="E11" s="139" t="n">
        <f aca="false">C11-D11</f>
        <v>0</v>
      </c>
      <c r="F11" s="140" t="str">
        <f aca="false">IF(ABS(E11)&lt;0.01,"OK","CHECK")</f>
        <v>OK</v>
      </c>
      <c r="G11" s="70" t="s">
        <v>439</v>
      </c>
    </row>
    <row r="12" customFormat="false" ht="27" hidden="false" customHeight="true" outlineLevel="0" collapsed="false">
      <c r="A12" s="62" t="n">
        <v>6</v>
      </c>
      <c r="B12" s="138" t="s">
        <v>440</v>
      </c>
      <c r="C12" s="139" t="n">
        <f aca="false">Appraisal!$B$34</f>
        <v>-70.3859797897492</v>
      </c>
      <c r="D12" s="139" t="n">
        <f aca="false">SUMPRODUCT(Appraisal!$B$26:$K$26,Appraisal!$B$28:$K$28)</f>
        <v>-70.3859797897492</v>
      </c>
      <c r="E12" s="139" t="n">
        <f aca="false">C12-D12</f>
        <v>0</v>
      </c>
      <c r="F12" s="140" t="str">
        <f aca="false">IF(ABS(E12)&lt;0.01,"OK","CHECK")</f>
        <v>OK</v>
      </c>
      <c r="G12" s="70" t="s">
        <v>441</v>
      </c>
    </row>
    <row r="13" customFormat="false" ht="16.5" hidden="false" customHeight="true" outlineLevel="0" collapsed="false">
      <c r="A13" s="62" t="n">
        <v>7</v>
      </c>
      <c r="B13" s="138" t="s">
        <v>442</v>
      </c>
      <c r="C13" s="139" t="n">
        <f aca="false">Appraisal!$K$30</f>
        <v>-70.3859797897492</v>
      </c>
      <c r="D13" s="139" t="n">
        <f aca="false">Appraisal!$B$34</f>
        <v>-70.3859797897492</v>
      </c>
      <c r="E13" s="139" t="n">
        <f aca="false">C13-D13</f>
        <v>0</v>
      </c>
      <c r="F13" s="140" t="str">
        <f aca="false">IF(ABS(E13)&lt;0.01,"OK","CHECK")</f>
        <v>OK</v>
      </c>
      <c r="G13" s="70" t="s">
        <v>443</v>
      </c>
    </row>
    <row r="14" customFormat="false" ht="27" hidden="false" customHeight="true" outlineLevel="0" collapsed="false">
      <c r="A14" s="62" t="n">
        <v>8</v>
      </c>
      <c r="B14" s="138" t="s">
        <v>444</v>
      </c>
      <c r="C14" s="139" t="n">
        <f aca="false">SUMPRODUCT(Appraisal!$B$26:$K$26,1/(1+Appraisal!$B$36)^Appraisal!$B$6:$K$6)</f>
        <v>0</v>
      </c>
      <c r="D14" s="139" t="n">
        <f aca="false">0</f>
        <v>0</v>
      </c>
      <c r="E14" s="139" t="n">
        <f aca="false">C14-D14</f>
        <v>0</v>
      </c>
      <c r="F14" s="140" t="str">
        <f aca="false">IF(ABS(E14)&lt;0.01,"OK","CHECK")</f>
        <v>OK</v>
      </c>
      <c r="G14" s="70" t="s">
        <v>445</v>
      </c>
    </row>
    <row r="15" customFormat="false" ht="27" hidden="false" customHeight="true" outlineLevel="0" collapsed="false">
      <c r="A15" s="62" t="n">
        <v>9</v>
      </c>
      <c r="B15" s="138" t="s">
        <v>446</v>
      </c>
      <c r="C15" s="139" t="n">
        <f aca="false">SUM(Appraisal!$B$10:$K$12)</f>
        <v>3829.25</v>
      </c>
      <c r="D15" s="139" t="n">
        <f aca="false">('Benefits Build'!$E$18+'Benefits Build'!$I$10+'Benefits Build'!$E$27)*(Assumptions!$B$22+8)</f>
        <v>3829.25</v>
      </c>
      <c r="E15" s="139" t="n">
        <f aca="false">C15-D15</f>
        <v>0</v>
      </c>
      <c r="F15" s="140" t="str">
        <f aca="false">IF(ABS(E15)&lt;0.01,"OK","CHECK")</f>
        <v>OK</v>
      </c>
      <c r="G15" s="70" t="s">
        <v>447</v>
      </c>
    </row>
    <row r="16" customFormat="false" ht="27" hidden="false" customHeight="true" outlineLevel="0" collapsed="false">
      <c r="A16" s="62" t="n">
        <v>10</v>
      </c>
      <c r="B16" s="138" t="s">
        <v>448</v>
      </c>
      <c r="C16" s="139" t="n">
        <f aca="false">-SUM(Appraisal!$B$13:$K$13)</f>
        <v>779.15</v>
      </c>
      <c r="D16" s="139" t="n">
        <f aca="false">('Costs &amp; Capex'!$E$22-'Costs &amp; Capex'!$E$18)*(Assumptions!$B$22+8)+'Costs &amp; Capex'!$E$18*8</f>
        <v>779.15</v>
      </c>
      <c r="E16" s="139" t="n">
        <f aca="false">C16-D16</f>
        <v>0</v>
      </c>
      <c r="F16" s="140" t="str">
        <f aca="false">IF(ABS(E16)&lt;0.01,"OK","CHECK")</f>
        <v>OK</v>
      </c>
      <c r="G16" s="70" t="s">
        <v>449</v>
      </c>
    </row>
    <row r="17" customFormat="false" ht="16.5" hidden="false" customHeight="true" outlineLevel="0" collapsed="false">
      <c r="A17" s="62" t="n">
        <v>11</v>
      </c>
      <c r="B17" s="138" t="s">
        <v>450</v>
      </c>
      <c r="C17" s="139" t="n">
        <f aca="false">SUMPRODUCT(--(ROUND(Appraisal!$B$18:$K$18,6)=ROUND(-Appraisal!$B$17:$K$17*Assumptions!$B$23,6)))</f>
        <v>10</v>
      </c>
      <c r="D17" s="139" t="n">
        <f aca="false">10</f>
        <v>10</v>
      </c>
      <c r="E17" s="139" t="n">
        <f aca="false">C17-D17</f>
        <v>0</v>
      </c>
      <c r="F17" s="140" t="str">
        <f aca="false">IF(ABS(E17)&lt;0.01,"OK","CHECK")</f>
        <v>OK</v>
      </c>
      <c r="G17" s="70" t="s">
        <v>451</v>
      </c>
    </row>
    <row r="18" customFormat="false" ht="16.5" hidden="false" customHeight="true" outlineLevel="0" collapsed="false">
      <c r="A18" s="62" t="n">
        <v>12</v>
      </c>
      <c r="B18" s="138" t="s">
        <v>452</v>
      </c>
      <c r="C18" s="139" t="n">
        <f aca="false">WACC!$B$22</f>
        <v>0.107</v>
      </c>
      <c r="D18" s="139" t="n">
        <f aca="false">ROUND((WACC!$B$20*WACC!$B$12+WACC!$B$21*WACC!$B$17)*1000,0)/1000</f>
        <v>0.107</v>
      </c>
      <c r="E18" s="139" t="n">
        <f aca="false">C18-D18</f>
        <v>0</v>
      </c>
      <c r="F18" s="140" t="str">
        <f aca="false">IF(ABS(E18)&lt;0.01,"OK","CHECK")</f>
        <v>OK</v>
      </c>
      <c r="G18" s="70" t="s">
        <v>453</v>
      </c>
    </row>
    <row r="19" customFormat="false" ht="16.5" hidden="false" customHeight="true" outlineLevel="0" collapsed="false">
      <c r="A19" s="62" t="n">
        <v>13</v>
      </c>
      <c r="B19" s="138" t="s">
        <v>454</v>
      </c>
      <c r="C19" s="139" t="n">
        <f aca="false">IF('Benefits Build'!$E$10+'Benefits Build'!$E$20&lt;=Assumptions!$B$20,1,0)</f>
        <v>1</v>
      </c>
      <c r="D19" s="139" t="n">
        <f aca="false">1</f>
        <v>1</v>
      </c>
      <c r="E19" s="139" t="n">
        <f aca="false">C19-D19</f>
        <v>0</v>
      </c>
      <c r="F19" s="140" t="str">
        <f aca="false">IF(ABS(E19)&lt;0.01,"OK","CHECK")</f>
        <v>OK</v>
      </c>
      <c r="G19" s="70" t="s">
        <v>455</v>
      </c>
    </row>
    <row r="20" customFormat="false" ht="27" hidden="false" customHeight="true" outlineLevel="0" collapsed="false">
      <c r="A20" s="62" t="n">
        <v>14</v>
      </c>
      <c r="B20" s="138" t="s">
        <v>456</v>
      </c>
      <c r="C20" s="139" t="n">
        <f aca="false">ROUND(Appraisal!$B$34,6)</f>
        <v>-70.38598</v>
      </c>
      <c r="D20" s="139" t="n">
        <f aca="false">ROUND(Scenarios!$I$6,6)</f>
        <v>-70.38598</v>
      </c>
      <c r="E20" s="139" t="n">
        <f aca="false">C20-D20</f>
        <v>0</v>
      </c>
      <c r="F20" s="140" t="str">
        <f aca="false">IF(ABS(E20)&lt;0.01,"OK","CHECK")</f>
        <v>OK</v>
      </c>
      <c r="G20" s="70" t="s">
        <v>457</v>
      </c>
    </row>
    <row r="21" customFormat="false" ht="16.5" hidden="false" customHeight="true" outlineLevel="0" collapsed="false">
      <c r="A21" s="62" t="n">
        <v>15</v>
      </c>
      <c r="B21" s="138" t="s">
        <v>458</v>
      </c>
      <c r="C21" s="139" t="n">
        <f aca="false">ROUND(Appraisal!$B$36,6)</f>
        <v>0.097879</v>
      </c>
      <c r="D21" s="139" t="n">
        <f aca="false">ROUND(Scenarios!$J$6,6)</f>
        <v>0.097879</v>
      </c>
      <c r="E21" s="139" t="n">
        <f aca="false">C21-D21</f>
        <v>0</v>
      </c>
      <c r="F21" s="140" t="str">
        <f aca="false">IF(ABS(E21)&lt;0.01,"OK","CHECK")</f>
        <v>OK</v>
      </c>
      <c r="G21" s="70" t="s">
        <v>459</v>
      </c>
    </row>
    <row r="22" customFormat="false" ht="16.5" hidden="false" customHeight="true" outlineLevel="0" collapsed="false">
      <c r="A22" s="62" t="n">
        <v>16</v>
      </c>
      <c r="B22" s="138" t="s">
        <v>460</v>
      </c>
      <c r="C22" s="139" t="n">
        <f aca="false">SUMPRODUCT(--ISERROR(Appraisal!$B$9:$K$31))+SUMPRODUCT(--ISERROR(Scenarios!$C$24:$L$140))</f>
        <v>0</v>
      </c>
      <c r="D22" s="139" t="n">
        <f aca="false">0</f>
        <v>0</v>
      </c>
      <c r="E22" s="139" t="n">
        <f aca="false">C22-D22</f>
        <v>0</v>
      </c>
      <c r="F22" s="140" t="str">
        <f aca="false">IF(ABS(E22)&lt;0.01,"OK","CHECK")</f>
        <v>OK</v>
      </c>
      <c r="G22" s="70" t="s">
        <v>461</v>
      </c>
    </row>
  </sheetData>
  <mergeCells count="4">
    <mergeCell ref="A1:G1"/>
    <mergeCell ref="A2:G2"/>
    <mergeCell ref="C4:D4"/>
    <mergeCell ref="E4:G4"/>
  </mergeCells>
  <conditionalFormatting sqref="F7:F22">
    <cfRule type="expression" priority="2" aboveAverage="0" equalAverage="0" bottom="0" percent="0" rank="0" text="" dxfId="1">
      <formula>F7="OK"</formula>
    </cfRule>
    <cfRule type="expression" priority="3" aboveAverage="0" equalAverage="0" bottom="0" percent="0" rank="0" text="" dxfId="2">
      <formula>F7="CHECK"</formula>
    </cfRule>
  </conditionalFormatting>
  <printOptions headings="false" gridLines="false" gridLinesSet="true" horizontalCentered="false" verticalCentered="false"/>
  <pageMargins left="0.3" right="0.3" top="1" bottom="1" header="0.5" footer="0.5"/>
  <pageSetup paperSize="9" scale="100" fitToWidth="1" fitToHeight="0" pageOrder="downThenOver" orientation="portrait" blackAndWhite="false" draft="false" cellComments="none" horizontalDpi="300" verticalDpi="300" copies="1"/>
  <headerFooter differentFirst="false" differentOddEven="false">
    <oddHeader>&amp;L&amp;"Arial,Bold"&amp;9Halcyon Metalworks Kft.&amp;R&amp;"Arial,Regular"&amp;9CAPITAL INVESTMENT APPRAISAL</oddHeader>
    <oddFooter>&amp;L&amp;"Arial,Regular"&amp;8Illustrative sample, fictional data - prepared by Tarlan Charkasov, ACCA&amp;R&amp;"Arial,Regular"&amp;8Page &amp;P of &amp;N</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2026-07-27T21:34:42Z</dcterms:created>
  <dc:creator>openpyxl</dc:creator>
  <dc:description/>
  <dc:language>en-US</dc:language>
  <cp:lastModifiedBy/>
  <dcterms:modified xsi:type="dcterms:W3CDTF">2026-07-27T21:34:45Z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