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comments7.xml" ContentType="application/vnd.openxmlformats-officedocument.spreadsheetml.comments+xml"/>
  <Override PartName="/xl/theme/theme1.xml" ContentType="application/vnd.openxmlformats-officedocument.theme+xml"/>
  <Override PartName="/xl/comments3.xml" ContentType="application/vnd.openxmlformats-officedocument.spreadsheetml.comment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7.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sheet8.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drawings/vmlDrawing1.vml" ContentType="application/vnd.openxmlformats-officedocument.vmlDrawing"/>
  <Override PartName="/xl/drawings/vmlDrawing2.vml" ContentType="application/vnd.openxmlformats-officedocument.vmlDrawing"/>
  <Override PartName="/xl/charts/chart1.xml" ContentType="application/vnd.openxmlformats-officedocument.drawingml.chart+xml"/>
  <Override PartName="/xl/charts/chart2.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ummary" sheetId="2" state="visible" r:id="rId4"/>
    <sheet name="Weekly Cash Flow" sheetId="3" state="visible" r:id="rId5"/>
    <sheet name="Receipts Build" sheetId="4" state="visible" r:id="rId6"/>
    <sheet name="Payments Build" sheetId="5" state="visible" r:id="rId7"/>
    <sheet name="Scenarios" sheetId="6" state="visible" r:id="rId8"/>
    <sheet name="Assumptions" sheetId="7" state="visible" r:id="rId9"/>
    <sheet name="Checks" sheetId="8" state="visible" r:id="rId10"/>
  </sheets>
  <definedNames>
    <definedName function="false" hidden="false" localSheetId="6" name="_xlnm.Print_Area" vbProcedure="false">Assumptions!$A$1:$D$63</definedName>
    <definedName function="false" hidden="false" localSheetId="7" name="_xlnm.Print_Area" vbProcedure="false">Checks!$A$1:$G$24</definedName>
    <definedName function="false" hidden="false" localSheetId="0" name="_xlnm.Print_Area" vbProcedure="false">Cover!$A$1:$F$41</definedName>
    <definedName function="false" hidden="false" localSheetId="4" name="_xlnm.Print_Area" vbProcedure="false">'Payments Build'!$A$1:$N$212</definedName>
    <definedName function="false" hidden="false" localSheetId="4" name="_xlnm.Print_Titles" vbProcedure="false">'Payments Build'!$1:$2</definedName>
    <definedName function="false" hidden="false" localSheetId="3" name="_xlnm.Print_Area" vbProcedure="false">'Receipts Build'!$A$1:$R$217</definedName>
    <definedName function="false" hidden="false" localSheetId="3" name="_xlnm.Print_Titles" vbProcedure="false">'Receipts Build'!$1:$2</definedName>
    <definedName function="false" hidden="false" localSheetId="5" name="_xlnm.Print_Area" vbProcedure="false">Scenarios!$A$1:$G$112</definedName>
    <definedName function="false" hidden="false" localSheetId="1" name="_xlnm.Print_Area" vbProcedure="false">Summary!$A$1:$P$68</definedName>
    <definedName function="false" hidden="false" localSheetId="2" name="_xlnm.Print_Area" vbProcedure="false">'Weekly Cash Flow'!$A$1:$O$58</definedName>
  </definedNames>
  <calcPr iterateCount="100" refMode="A1" iterate="false" iterateDelta="0.0001"/>
  <extLst>
    <ext xmlns:loext="http://schemas.libreoffice.org/" uri="{7626C862-2A13-11E5-B345-FEFF819CDC9F}">
      <loext:extCalcPr stringRefSyntax="ExcelA1"/>
    </ext>
  </extLst>
</workbook>
</file>

<file path=xl/comments3.xml><?xml version="1.0" encoding="utf-8"?>
<comments xmlns="http://schemas.openxmlformats.org/spreadsheetml/2006/main" xmlns:xdr="http://schemas.openxmlformats.org/drawingml/2006/spreadsheetDrawing">
  <authors>
    <author>Unknown Author</author>
  </authors>
  <commentList>
    <comment ref="B39" authorId="0">
      <text>
        <r>
          <rPr>
            <sz val="10"/>
            <rFont val="Arial"/>
            <family val="2"/>
          </rPr>
          <t xml:space="preserve">RCF sweep: draws only what is needed to hold cash at the treasury floor, capped at undrawn availability, and repays surplus cash. Interest is charged on opening balances, so there is no circularity.</t>
        </r>
      </text>
    </comment>
  </commentList>
</comments>
</file>

<file path=xl/comments7.xml><?xml version="1.0" encoding="utf-8"?>
<comments xmlns="http://schemas.openxmlformats.org/spreadsheetml/2006/main" xmlns:xdr="http://schemas.openxmlformats.org/drawingml/2006/spreadsheetDrawing">
  <authors>
    <author>Unknown Author</author>
  </authors>
  <commentList>
    <comment ref="B6" authorId="0">
      <text>
        <r>
          <rPr>
            <sz val="10"/>
            <rFont val="Arial"/>
            <family val="2"/>
          </rPr>
          <t xml:space="preserve">Roll-forward cell. Change this Monday date and the whole pack re-slices - grid dates, SUMIFS windows, collection and payment schedules.</t>
        </r>
      </text>
    </comment>
  </commentList>
</comments>
</file>

<file path=xl/sharedStrings.xml><?xml version="1.0" encoding="utf-8"?>
<sst xmlns="http://schemas.openxmlformats.org/spreadsheetml/2006/main" count="2631" uniqueCount="693">
  <si>
    <t xml:space="preserve">HALCYON METALWORKS KFT.</t>
  </si>
  <si>
    <t xml:space="preserve">13-WEEK ROLLING CASH FLOW FORECAST</t>
  </si>
  <si>
    <t xml:space="preserve">13 weeks commencing Monday 27 July 2026  |  direct method  |  EUR '000</t>
  </si>
  <si>
    <t xml:space="preserve">Illustrative portfolio sample - fictional company and fictional data</t>
  </si>
  <si>
    <t xml:space="preserve">Prepared by</t>
  </si>
  <si>
    <t xml:space="preserve">Tarlan Charkasov, ACCA</t>
  </si>
  <si>
    <t xml:space="preserve">Forecast date</t>
  </si>
  <si>
    <t xml:space="preserve">Role</t>
  </si>
  <si>
    <t xml:space="preserve">FP&amp;A and financial controlling</t>
  </si>
  <si>
    <t xml:space="preserve">Basis</t>
  </si>
  <si>
    <t xml:space="preserve">Direct method, weekly buckets</t>
  </si>
  <si>
    <t xml:space="preserve">THE ENGAGEMENT IN ONE PARAGRAPH</t>
  </si>
  <si>
    <t xml:space="preserve">Halcyon Metalworks is a Tier-2 precision machining business in Gyor supplying aluminium and steel components to German and Austrian OEMs. Revenue runs at EUR 34.8m a year on 90-day OEM terms, the revolving credit facility is 86% drawn, and a new machining centre is being paid for in stages. The board asked for a weekly view of liquidity through to the end of October, an answer on whether the minimum liquidity covenant holds, and a costed list of the actions available if it does not. This pack is that answer: eight tabs, one roll-forward date, and every number traceable to a dated invoice or payment line.</t>
  </si>
  <si>
    <t xml:space="preserve">CONTENTS</t>
  </si>
  <si>
    <t xml:space="preserve">Tab</t>
  </si>
  <si>
    <t xml:space="preserve">What it does</t>
  </si>
  <si>
    <t xml:space="preserve">Summary</t>
  </si>
  <si>
    <t xml:space="preserve">Executive page: six liquidity metrics, the cash profile against the covenant floor, findings, actions and risks.</t>
  </si>
  <si>
    <t xml:space="preserve">Weekly Cash Flow</t>
  </si>
  <si>
    <t xml:space="preserve">The forecast itself. 13 weekly columns, direct method, RCF sweep, covenant test and headroom by week.</t>
  </si>
  <si>
    <t xml:space="preserve">Receipts Build</t>
  </si>
  <si>
    <t xml:space="preserve">Customer master and behaviour, the open sales invoice register, forward invoicing plan, scrap and the VAT reclaim schedule.</t>
  </si>
  <si>
    <t xml:space="preserve">Payments Build</t>
  </si>
  <si>
    <t xml:space="preserve">Supplier master, open supplier invoice register, forward purchase plan and the fixed, statutory and capital calendar.</t>
  </si>
  <si>
    <t xml:space="preserve">Scenarios</t>
  </si>
  <si>
    <t xml:space="preserve">Three scenarios, the mitigation package, a live sensitivity engine on collection delay and a recorded run log.</t>
  </si>
  <si>
    <t xml:space="preserve">Assumptions</t>
  </si>
  <si>
    <t xml:space="preserve">Every input in one place with its source, plus the control panel: roll-forward date, scenario selector and mitigation toggle.</t>
  </si>
  <si>
    <t xml:space="preserve">Checks</t>
  </si>
  <si>
    <t xml:space="preserve">Sixteen integrity checks. The pack is not issued until all sixteen read OK.</t>
  </si>
  <si>
    <t xml:space="preserve">HOW TO DRIVE IT</t>
  </si>
  <si>
    <t xml:space="preserve">Roll the forecast forward</t>
  </si>
  <si>
    <t xml:space="preserve">Change one cell - the week 1 commencing date on the Assumptions tab. Every schedule re-slices to the new 13 weeks.</t>
  </si>
  <si>
    <t xml:space="preserve">Refresh the registers</t>
  </si>
  <si>
    <t xml:space="preserve">Paste the current open sales and supplier invoice extracts over the two registers. Dates and amounts are the only inputs needed.</t>
  </si>
  <si>
    <t xml:space="preserve">Run a scenario</t>
  </si>
  <si>
    <t xml:space="preserve">Set the scenario selector to 1, 2 or 3 on the Assumptions tab.</t>
  </si>
  <si>
    <t xml:space="preserve">Test the mitigations</t>
  </si>
  <si>
    <t xml:space="preserve">Set the mitigation toggle to 1. Capex is deferred, eligible supplier terms extend and the assigned invoices are factored.</t>
  </si>
  <si>
    <t xml:space="preserve">Check before issuing</t>
  </si>
  <si>
    <t xml:space="preserve">Open the Checks tab. Sixteen OKs, or find out why not.</t>
  </si>
  <si>
    <t xml:space="preserve">CONVENTIONS</t>
  </si>
  <si>
    <t xml:space="preserve">Blue figures</t>
  </si>
  <si>
    <t xml:space="preserve">Inputs. These are the only cells intended to be typed over.</t>
  </si>
  <si>
    <t xml:space="preserve">Green figures</t>
  </si>
  <si>
    <t xml:space="preserve">Links to another tab.</t>
  </si>
  <si>
    <t xml:space="preserve">Black figures</t>
  </si>
  <si>
    <t xml:space="preserve">Calculated on the tab you are looking at.</t>
  </si>
  <si>
    <t xml:space="preserve">Yellow highlight</t>
  </si>
  <si>
    <t xml:space="preserve">The control panel: roll-forward date, scenario selector, mitigation toggle.</t>
  </si>
  <si>
    <t xml:space="preserve">Signs</t>
  </si>
  <si>
    <t xml:space="preserve">Receipts positive, payments negative on the grid. Payments are held positive on the build tabs and negated once, on the grid.</t>
  </si>
  <si>
    <t xml:space="preserve">Units</t>
  </si>
  <si>
    <t xml:space="preserve">EUR thousands throughout, one decimal place on the build tabs and whole thousands on the grid.</t>
  </si>
  <si>
    <t xml:space="preserve">DISCLAIMER.  This file is a work sample. Halcyon Metalworks Kft. is a fictional company; the customers, suppliers, balances, invoices and covenant terms are invented to demonstrate structure, controls and commercial reasoning. No client data, confidential or otherwise, appears anywhere in this workbook. Prepared by Tarlan Charkasov, ACCA.</t>
  </si>
  <si>
    <t xml:space="preserve">HALCYON METALWORKS KFT.  -  13-WEEK CASH FLOW FORECAST</t>
  </si>
  <si>
    <t xml:space="preserve">TOTAL LIQUIDITY, WEEK 13</t>
  </si>
  <si>
    <t xml:space="preserve">MINIMUM TOTAL LIQUIDITY</t>
  </si>
  <si>
    <t xml:space="preserve">HEADROOM OVER COVENANT AT THE TROUGH</t>
  </si>
  <si>
    <t xml:space="preserve">PEAK RCF DRAWN</t>
  </si>
  <si>
    <t xml:space="preserve">NET CASH FLOW, 13 WEEKS</t>
  </si>
  <si>
    <t xml:space="preserve">COLLECTION SLIPPAGE THE COVENANT ABSORBS</t>
  </si>
  <si>
    <t xml:space="preserve">LIQUIDITY PROFILE - CLOSING CASH, TOTAL LIQUIDITY AND THE COVENANT FLOOR</t>
  </si>
  <si>
    <t xml:space="preserve">WEEKLY NET CASH FLOW BEFORE FINANCING</t>
  </si>
  <si>
    <t xml:space="preserve">WHAT THE FORECAST SAYS</t>
  </si>
  <si>
    <t xml:space="preserve">ACTIONS</t>
  </si>
  <si>
    <t xml:space="preserve">Action</t>
  </si>
  <si>
    <t xml:space="preserve">Owner</t>
  </si>
  <si>
    <t xml:space="preserve">Effect EUR '000</t>
  </si>
  <si>
    <t xml:space="preserve">By</t>
  </si>
  <si>
    <t xml:space="preserve">Status</t>
  </si>
  <si>
    <t xml:space="preserve">Confirm revised acceptance date for the machining centre with the vendor</t>
  </si>
  <si>
    <t xml:space="preserve">Operations director</t>
  </si>
  <si>
    <t xml:space="preserve">14-Aug-26</t>
  </si>
  <si>
    <t xml:space="preserve">In progress</t>
  </si>
  <si>
    <t xml:space="preserve">Submit the invoice schedule to the factoring facility</t>
  </si>
  <si>
    <t xml:space="preserve">CFO</t>
  </si>
  <si>
    <t xml:space="preserve">18-Sep-26</t>
  </si>
  <si>
    <t xml:space="preserve">Quote received</t>
  </si>
  <si>
    <t xml:space="preserve">Agree 60 to 75 day terms with Alumtec and Rheinstahl</t>
  </si>
  <si>
    <t xml:space="preserve">Procurement lead</t>
  </si>
  <si>
    <t xml:space="preserve">11-Sep-26</t>
  </si>
  <si>
    <t xml:space="preserve">Not started</t>
  </si>
  <si>
    <t xml:space="preserve">Close quality claim QN-2026-118 and release the withheld invoices</t>
  </si>
  <si>
    <t xml:space="preserve">Quality manager</t>
  </si>
  <si>
    <t xml:space="preserve">09-Oct-26</t>
  </si>
  <si>
    <t xml:space="preserve">8D at step 5</t>
  </si>
  <si>
    <t xml:space="preserve">Pre-agree an RCF increase of 500k as insurance against the downside case</t>
  </si>
  <si>
    <t xml:space="preserve">25-Sep-26</t>
  </si>
  <si>
    <t xml:space="preserve">Bank informally sounded</t>
  </si>
  <si>
    <t xml:space="preserve">Re-forecast weekly every Friday and re-cut the register extracts</t>
  </si>
  <si>
    <t xml:space="preserve">Financial controller</t>
  </si>
  <si>
    <t xml:space="preserve">Weekly</t>
  </si>
  <si>
    <t xml:space="preserve">Standing</t>
  </si>
  <si>
    <t xml:space="preserve">RISKS TO THE FORECAST</t>
  </si>
  <si>
    <t xml:space="preserve">VAT refund timing</t>
  </si>
  <si>
    <t xml:space="preserve">A NAV review of any single period pushes that month's refund out by 30 to 45 days. The August period refund is due in week 13 and is the one exposed.</t>
  </si>
  <si>
    <t xml:space="preserve">Quality claim release</t>
  </si>
  <si>
    <t xml:space="preserve">If the 8D closure slips a month the withheld invoices leave the window altogether.</t>
  </si>
  <si>
    <t xml:space="preserve">Collection discipline</t>
  </si>
  <si>
    <t xml:space="preserve">Five days of slippage across the trade book breaches the covenant and fifteen days exhausts the facility altogether. The figure shown is what ten days costs, taken straight off the sensitivity engine.</t>
  </si>
  <si>
    <t xml:space="preserve">Illustrative sample built on fictional data for portfolio purposes. Halcyon Metalworks Kft. is not a real company and no client information is used anywhere in this file.</t>
  </si>
  <si>
    <t xml:space="preserve">HALCYON METALWORKS KFT.  -  13-WEEK ROLLING CASH FLOW FORECAST</t>
  </si>
  <si>
    <t xml:space="preserve">Week</t>
  </si>
  <si>
    <t xml:space="preserve">13 weeks</t>
  </si>
  <si>
    <t xml:space="preserve">Week commencing</t>
  </si>
  <si>
    <t xml:space="preserve">Week ending</t>
  </si>
  <si>
    <t xml:space="preserve">Month</t>
  </si>
  <si>
    <t xml:space="preserve">Total / close</t>
  </si>
  <si>
    <t xml:space="preserve">Opening cash</t>
  </si>
  <si>
    <t xml:space="preserve">RECEIPTS</t>
  </si>
  <si>
    <t xml:space="preserve">Collections - automotive Tier-1 OEM</t>
  </si>
  <si>
    <t xml:space="preserve">Collections - industrial OEM</t>
  </si>
  <si>
    <t xml:space="preserve">Collections - aftermarket &amp; distribution</t>
  </si>
  <si>
    <t xml:space="preserve">Scrap, tooling &amp; NRE receipts</t>
  </si>
  <si>
    <t xml:space="preserve">VAT refund (net reclaim position)</t>
  </si>
  <si>
    <t xml:space="preserve">Invoice factoring - advance received</t>
  </si>
  <si>
    <t xml:space="preserve">Total receipts</t>
  </si>
  <si>
    <t xml:space="preserve">PAYMENTS</t>
  </si>
  <si>
    <t xml:space="preserve">Raw material &amp; purchased parts</t>
  </si>
  <si>
    <t xml:space="preserve">Subcontract &amp; surface treatment</t>
  </si>
  <si>
    <t xml:space="preserve">Consumables, tooling &amp; maintenance</t>
  </si>
  <si>
    <t xml:space="preserve">Energy (electricity &amp; gas)</t>
  </si>
  <si>
    <t xml:space="preserve">Logistics &amp; freight</t>
  </si>
  <si>
    <t xml:space="preserve">Payroll - net wages</t>
  </si>
  <si>
    <t xml:space="preserve">Payroll taxes &amp; social contributions</t>
  </si>
  <si>
    <t xml:space="preserve">Corporate income tax, HIPA &amp; innovation contribution</t>
  </si>
  <si>
    <t xml:space="preserve">Property lease &amp; facility costs</t>
  </si>
  <si>
    <t xml:space="preserve">Other overheads (IT, insurance, professional)</t>
  </si>
  <si>
    <t xml:space="preserve">Capex - machining centre &amp; routine</t>
  </si>
  <si>
    <t xml:space="preserve">Bank interest &amp; charges</t>
  </si>
  <si>
    <t xml:space="preserve">Term loan amortisation</t>
  </si>
  <si>
    <t xml:space="preserve">Total payments</t>
  </si>
  <si>
    <t xml:space="preserve">Net cash flow before financing</t>
  </si>
  <si>
    <t xml:space="preserve">FINANCING, FACILITY HEADROOM AND COVENANT</t>
  </si>
  <si>
    <t xml:space="preserve">RCF drawdown / (repayment)</t>
  </si>
  <si>
    <t xml:space="preserve">Net movement in cash</t>
  </si>
  <si>
    <t xml:space="preserve">Closing cash</t>
  </si>
  <si>
    <t xml:space="preserve">Target minimum operating cash</t>
  </si>
  <si>
    <t xml:space="preserve">RCF facility limit</t>
  </si>
  <si>
    <t xml:space="preserve">RCF drawn - opening</t>
  </si>
  <si>
    <t xml:space="preserve">RCF drawn - closing</t>
  </si>
  <si>
    <t xml:space="preserve">Undrawn RCF availability</t>
  </si>
  <si>
    <t xml:space="preserve">Total liquidity (cash + undrawn RCF)</t>
  </si>
  <si>
    <t xml:space="preserve">Minimum liquidity covenant</t>
  </si>
  <si>
    <t xml:space="preserve">Headroom vs covenant</t>
  </si>
  <si>
    <t xml:space="preserve">Covenant status</t>
  </si>
  <si>
    <t xml:space="preserve">Term loan - opening balance</t>
  </si>
  <si>
    <t xml:space="preserve">Term loan - closing balance</t>
  </si>
  <si>
    <t xml:space="preserve">Memo: cumulative net cash flow before financing</t>
  </si>
  <si>
    <t xml:space="preserve">Payments are shown as negative. Every receipt and payment line is a SUMIFS over the dated schedules on the Receipts Build and Payments Build tabs - no number is typed into this grid. Bank interest is charged on opening RCF and term loan balances in the week containing month end, which keeps the model free of circular references. The RCF is swept automatically to the treasury floor on row 42.</t>
  </si>
  <si>
    <t xml:space="preserve">Illustrative sample prepared on fictional data. Halcyon Metalworks Kft. does not exist and no client information is used.</t>
  </si>
  <si>
    <t xml:space="preserve">RECEIPTS BUILD - COLLECTION SCHEDULES</t>
  </si>
  <si>
    <t xml:space="preserve">Halcyon Metalworks Kft.  |  EUR '000  |  columns N to Q are the interface into the weekly grid: every schedule feeds cash through the same four fields</t>
  </si>
  <si>
    <t xml:space="preserve">1  CUSTOMER MASTER AND PAYMENT BEHAVIOUR</t>
  </si>
  <si>
    <t xml:space="preserve">Customer</t>
  </si>
  <si>
    <t xml:space="preserve">Ctry</t>
  </si>
  <si>
    <t xml:space="preserve">Cash flow line</t>
  </si>
  <si>
    <t xml:space="preserve">Segment</t>
  </si>
  <si>
    <t xml:space="preserve">Revenue share</t>
  </si>
  <si>
    <t xml:space="preserve">Terms (days)</t>
  </si>
  <si>
    <t xml:space="preserve">Days beyond terms</t>
  </si>
  <si>
    <t xml:space="preserve">Effective days</t>
  </si>
  <si>
    <t xml:space="preserve">Expected receipts in window</t>
  </si>
  <si>
    <t xml:space="preserve">% of window receipts</t>
  </si>
  <si>
    <t xml:space="preserve">Basis / commentary</t>
  </si>
  <si>
    <t xml:space="preserve">Aurelia Automotive Systems GmbH</t>
  </si>
  <si>
    <t xml:space="preserve">DE</t>
  </si>
  <si>
    <t xml:space="preserve">Automotive</t>
  </si>
  <si>
    <t xml:space="preserve">Braking sub-assemblies. Terms 90 days end of month; pays on a monthly run, historically 4 days beyond terms.</t>
  </si>
  <si>
    <t xml:space="preserve">Nordwerk Antriebstechnik GmbH</t>
  </si>
  <si>
    <t xml:space="preserve">Transmission housings. Reliable payer, 2 days beyond terms over the last 12 months.</t>
  </si>
  <si>
    <t xml:space="preserve">Vitesse Mobility Kft.</t>
  </si>
  <si>
    <t xml:space="preserve">HU</t>
  </si>
  <si>
    <t xml:space="preserve">Domestic Tier-1. Chronic 9-day slippage; escalated to their AP manager in June 2026.</t>
  </si>
  <si>
    <t xml:space="preserve">Kessler Industrieanlagen GmbH</t>
  </si>
  <si>
    <t xml:space="preserve">AT</t>
  </si>
  <si>
    <t xml:space="preserve">Industrial</t>
  </si>
  <si>
    <t xml:space="preserve">Hydraulic manifolds. Pays twice monthly, average 6 days beyond terms.</t>
  </si>
  <si>
    <t xml:space="preserve">Polmech Sp. z o.o.</t>
  </si>
  <si>
    <t xml:space="preserve">PL</t>
  </si>
  <si>
    <t xml:space="preserve">Compressor components. 45-day terms agreed at 2026 price review.</t>
  </si>
  <si>
    <t xml:space="preserve">Brenner Hydraulik GmbH</t>
  </si>
  <si>
    <t xml:space="preserve">Short-terms account, settles close to due date.</t>
  </si>
  <si>
    <t xml:space="preserve">Aftermarket &amp; distribution (various)</t>
  </si>
  <si>
    <t xml:space="preserve">HU/RO</t>
  </si>
  <si>
    <t xml:space="preserve">Aftermarket</t>
  </si>
  <si>
    <t xml:space="preserve">Small-ticket spares. Mixed payment discipline, 12 days beyond terms on average.</t>
  </si>
  <si>
    <t xml:space="preserve">Total / weighted average</t>
  </si>
  <si>
    <t xml:space="preserve">Weighted average effective collection cycle is the single most important number on this tab.</t>
  </si>
  <si>
    <t xml:space="preserve">2  WEEKLY TRADING PROFILE</t>
  </si>
  <si>
    <t xml:space="preserve">Output factor</t>
  </si>
  <si>
    <t xml:space="preserve">Forecast revenue</t>
  </si>
  <si>
    <t xml:space="preserve">Invoice date</t>
  </si>
  <si>
    <t xml:space="preserve">Note</t>
  </si>
  <si>
    <t xml:space="preserve">Week 1</t>
  </si>
  <si>
    <t xml:space="preserve">Normal output</t>
  </si>
  <si>
    <t xml:space="preserve">Week 2</t>
  </si>
  <si>
    <t xml:space="preserve">Week 3</t>
  </si>
  <si>
    <t xml:space="preserve">Plant shutdown - 20% output</t>
  </si>
  <si>
    <t xml:space="preserve">Week 4</t>
  </si>
  <si>
    <t xml:space="preserve">Week 5</t>
  </si>
  <si>
    <t xml:space="preserve">Restart ramp</t>
  </si>
  <si>
    <t xml:space="preserve">Week 6</t>
  </si>
  <si>
    <t xml:space="preserve">Week 7</t>
  </si>
  <si>
    <t xml:space="preserve">Peak - OEM call-offs</t>
  </si>
  <si>
    <t xml:space="preserve">Week 8</t>
  </si>
  <si>
    <t xml:space="preserve">Week 9</t>
  </si>
  <si>
    <t xml:space="preserve">Week 10</t>
  </si>
  <si>
    <t xml:space="preserve">Week 11</t>
  </si>
  <si>
    <t xml:space="preserve">Week 12</t>
  </si>
  <si>
    <t xml:space="preserve">Week 13</t>
  </si>
  <si>
    <t xml:space="preserve">13-week total</t>
  </si>
  <si>
    <t xml:space="preserve">Output factors are the sales and operations plan agreed on 17-Jul-26. Invoices are raised on the Friday of the shipping week.</t>
  </si>
  <si>
    <t xml:space="preserve">3  OPEN SALES INVOICE REGISTER AT 24-JUL-26</t>
  </si>
  <si>
    <t xml:space="preserve">Invoice</t>
  </si>
  <si>
    <t xml:space="preserve">Amount</t>
  </si>
  <si>
    <t xml:space="preserve">Terms</t>
  </si>
  <si>
    <t xml:space="preserve">Due date</t>
  </si>
  <si>
    <t xml:space="preserve">Beh. days</t>
  </si>
  <si>
    <t xml:space="preserve">Plan / release date</t>
  </si>
  <si>
    <t xml:space="preserve">Factor</t>
  </si>
  <si>
    <t xml:space="preserve">Expected receipt</t>
  </si>
  <si>
    <t xml:space="preserve">Receipt amount</t>
  </si>
  <si>
    <t xml:space="preserve">Cash flow line (mapped)</t>
  </si>
  <si>
    <t xml:space="preserve">Shift group</t>
  </si>
  <si>
    <t xml:space="preserve">HM-4101</t>
  </si>
  <si>
    <t xml:space="preserve">Current</t>
  </si>
  <si>
    <t xml:space="preserve">N</t>
  </si>
  <si>
    <t xml:space="preserve">Weekly shipment invoice. Amount = base weekly revenue x 100% weekly index x customer share.</t>
  </si>
  <si>
    <t xml:space="preserve">HM-4102</t>
  </si>
  <si>
    <t xml:space="preserve">Weekly shipment invoice. Amount = base weekly revenue x 103% weekly index x customer share.</t>
  </si>
  <si>
    <t xml:space="preserve">HM-4103</t>
  </si>
  <si>
    <t xml:space="preserve">Weekly shipment invoice. Amount = base weekly revenue x 97% weekly index x customer share.</t>
  </si>
  <si>
    <t xml:space="preserve">HM-4104</t>
  </si>
  <si>
    <t xml:space="preserve">Weekly shipment invoice. Amount = base weekly revenue x 105% weekly index x customer share.</t>
  </si>
  <si>
    <t xml:space="preserve">HM-4105</t>
  </si>
  <si>
    <t xml:space="preserve">Weekly shipment invoice. Amount = base weekly revenue x 99% weekly index x customer share.</t>
  </si>
  <si>
    <t xml:space="preserve">HM-4106</t>
  </si>
  <si>
    <t xml:space="preserve">Weekly shipment invoice. Amount = base weekly revenue x 102% weekly index x customer share.</t>
  </si>
  <si>
    <t xml:space="preserve">HM-4107</t>
  </si>
  <si>
    <t xml:space="preserve">Weekly shipment invoice. Amount = base weekly revenue x 96% weekly index x customer share.</t>
  </si>
  <si>
    <t xml:space="preserve">HM-4108</t>
  </si>
  <si>
    <t xml:space="preserve">On hold - 8D claim</t>
  </si>
  <si>
    <t xml:space="preserve">Withheld pending closure of quality claim QN-2026-118 (surface porosity, 0.8% of the batch). 8D due 09-Oct-26, release expected 16-Oct-26.</t>
  </si>
  <si>
    <t xml:space="preserve">HM-4109</t>
  </si>
  <si>
    <t xml:space="preserve">HM-4110</t>
  </si>
  <si>
    <t xml:space="preserve">HM-4111</t>
  </si>
  <si>
    <t xml:space="preserve">HM-4112</t>
  </si>
  <si>
    <t xml:space="preserve">HM-4113</t>
  </si>
  <si>
    <t xml:space="preserve">HM-4114</t>
  </si>
  <si>
    <t xml:space="preserve">HM-4115</t>
  </si>
  <si>
    <t xml:space="preserve">HM-4116</t>
  </si>
  <si>
    <t xml:space="preserve">HM-4117</t>
  </si>
  <si>
    <t xml:space="preserve">HM-4118</t>
  </si>
  <si>
    <t xml:space="preserve">HM-4119</t>
  </si>
  <si>
    <t xml:space="preserve">HM-4120</t>
  </si>
  <si>
    <t xml:space="preserve">HM-4121</t>
  </si>
  <si>
    <t xml:space="preserve">HM-4122</t>
  </si>
  <si>
    <t xml:space="preserve">Weekly shipment invoice. Amount = base weekly revenue x 104% weekly index x customer share.</t>
  </si>
  <si>
    <t xml:space="preserve">HM-4123</t>
  </si>
  <si>
    <t xml:space="preserve">Weekly shipment invoice. Amount = base weekly revenue x 101% weekly index x customer share.</t>
  </si>
  <si>
    <t xml:space="preserve">HM-4124</t>
  </si>
  <si>
    <t xml:space="preserve">Weekly shipment invoice. Amount = base weekly revenue x 98% weekly index x customer share.</t>
  </si>
  <si>
    <t xml:space="preserve">HM-4125</t>
  </si>
  <si>
    <t xml:space="preserve">HM-4126</t>
  </si>
  <si>
    <t xml:space="preserve">HM-4127</t>
  </si>
  <si>
    <t xml:space="preserve">HM-4128</t>
  </si>
  <si>
    <t xml:space="preserve">HM-4129</t>
  </si>
  <si>
    <t xml:space="preserve">HM-4130</t>
  </si>
  <si>
    <t xml:space="preserve">HM-4131</t>
  </si>
  <si>
    <t xml:space="preserve">HM-4132</t>
  </si>
  <si>
    <t xml:space="preserve">HM-4133</t>
  </si>
  <si>
    <t xml:space="preserve">HM-4134</t>
  </si>
  <si>
    <t xml:space="preserve">HM-4135</t>
  </si>
  <si>
    <t xml:space="preserve">HM-4136</t>
  </si>
  <si>
    <t xml:space="preserve">HM-4137</t>
  </si>
  <si>
    <t xml:space="preserve">HM-4138</t>
  </si>
  <si>
    <t xml:space="preserve">HM-4139</t>
  </si>
  <si>
    <t xml:space="preserve">HM-4140</t>
  </si>
  <si>
    <t xml:space="preserve">HM-4141</t>
  </si>
  <si>
    <t xml:space="preserve">HM-4142</t>
  </si>
  <si>
    <t xml:space="preserve">HM-4143</t>
  </si>
  <si>
    <t xml:space="preserve">HM-4144</t>
  </si>
  <si>
    <t xml:space="preserve">HM-4145</t>
  </si>
  <si>
    <t xml:space="preserve">HM-4146</t>
  </si>
  <si>
    <t xml:space="preserve">HM-4147</t>
  </si>
  <si>
    <t xml:space="preserve">HM-4148</t>
  </si>
  <si>
    <t xml:space="preserve">HM-4149</t>
  </si>
  <si>
    <t xml:space="preserve">HM-4150</t>
  </si>
  <si>
    <t xml:space="preserve">HM-4151</t>
  </si>
  <si>
    <t xml:space="preserve">HM-4152</t>
  </si>
  <si>
    <t xml:space="preserve">HM-4153</t>
  </si>
  <si>
    <t xml:space="preserve">HM-4154</t>
  </si>
  <si>
    <t xml:space="preserve">HM-4155</t>
  </si>
  <si>
    <t xml:space="preserve">HM-4156</t>
  </si>
  <si>
    <t xml:space="preserve">HM-4157</t>
  </si>
  <si>
    <t xml:space="preserve">HM-4158</t>
  </si>
  <si>
    <t xml:space="preserve">HM-4159</t>
  </si>
  <si>
    <t xml:space="preserve">HM-4160</t>
  </si>
  <si>
    <t xml:space="preserve">HM-4161</t>
  </si>
  <si>
    <t xml:space="preserve">HM-4162</t>
  </si>
  <si>
    <t xml:space="preserve">HM-4163</t>
  </si>
  <si>
    <t xml:space="preserve">HM-4164</t>
  </si>
  <si>
    <t xml:space="preserve">Overdue - payment plan</t>
  </si>
  <si>
    <t xml:space="preserve">Payment plan agreed 09-Jul-26: three instalments. First instalment in week 1.</t>
  </si>
  <si>
    <t xml:space="preserve">HM-4165</t>
  </si>
  <si>
    <t xml:space="preserve">Second instalment under the same plan.</t>
  </si>
  <si>
    <t xml:space="preserve">Total open sales invoices</t>
  </si>
  <si>
    <t xml:space="preserve">Agrees to the trade receivables balance on the Assumptions tab.</t>
  </si>
  <si>
    <t xml:space="preserve">4  FORWARD INVOICING PLAN - SHIPMENTS INSIDE THE FORECAST WINDOW</t>
  </si>
  <si>
    <t xml:space="preserve">Planned</t>
  </si>
  <si>
    <t xml:space="preserve">Y</t>
  </si>
  <si>
    <t xml:space="preserve">Assigned to the factoring facility under the mitigation package.</t>
  </si>
  <si>
    <t xml:space="preserve">Shipment invoice per the sales and operations plan.</t>
  </si>
  <si>
    <t xml:space="preserve">Scrap &amp; by-product merchants</t>
  </si>
  <si>
    <t xml:space="preserve">Aluminium swarf and offcuts, weighbridge ticket settled at 14 days.</t>
  </si>
  <si>
    <t xml:space="preserve">Milestone</t>
  </si>
  <si>
    <t xml:space="preserve">Tooling milestone on programme P-4471, invoiced on customer sign-off of the fixture set. Source: PO 4471-T.</t>
  </si>
  <si>
    <t xml:space="preserve">Total forward invoicing</t>
  </si>
  <si>
    <t xml:space="preserve">Only a part of this lands inside the window - with a 75-day cycle, most of it is next quarter's cash.</t>
  </si>
  <si>
    <t xml:space="preserve">5  VAT RECLAIM SCHEDULE - MONTHLY FILER IN A NET REPAYMENT POSITION</t>
  </si>
  <si>
    <t xml:space="preserve">VAT period</t>
  </si>
  <si>
    <t xml:space="preserve">Domestic sales</t>
  </si>
  <si>
    <t xml:space="preserve">Output VAT</t>
  </si>
  <si>
    <t xml:space="preserve">Domestic purchases</t>
  </si>
  <si>
    <t xml:space="preserve">Input VAT</t>
  </si>
  <si>
    <t xml:space="preserve">Capex input VAT</t>
  </si>
  <si>
    <t xml:space="preserve">Net reclaim</t>
  </si>
  <si>
    <t xml:space="preserve">Filed 20-Jul-26. Refund expected mid-August.</t>
  </si>
  <si>
    <t xml:space="preserve">Return in preparation.</t>
  </si>
  <si>
    <t xml:space="preserve">Shutdown month: low trading VAT, but capex milestone 1 input VAT is reclaimed here.</t>
  </si>
  <si>
    <t xml:space="preserve">Falls outside the window - received 19-Nov-26.</t>
  </si>
  <si>
    <t xml:space="preserve">Total</t>
  </si>
  <si>
    <t xml:space="preserve">Refund timing is a live risk: a NAV review of any single period pushes that month's refund out by 30-45 days.</t>
  </si>
  <si>
    <t xml:space="preserve">PAYMENTS BUILD - DISBURSEMENT SCHEDULES</t>
  </si>
  <si>
    <t xml:space="preserve">Halcyon Metalworks Kft.  |  EUR '000, payments stated positive here and negated on the grid  |  columns D, L and M are the interface into the weekly grid</t>
  </si>
  <si>
    <t xml:space="preserve">1  SUPPLIER MASTER AND PAYMENT TERMS</t>
  </si>
  <si>
    <t xml:space="preserve">Supplier</t>
  </si>
  <si>
    <t xml:space="preserve">Share of category spend</t>
  </si>
  <si>
    <t xml:space="preserve">Invoice cadence</t>
  </si>
  <si>
    <t xml:space="preserve">Stretch eligible</t>
  </si>
  <si>
    <t xml:space="preserve">Payments in window</t>
  </si>
  <si>
    <t xml:space="preserve">Alumtec Extrusions Kft.</t>
  </si>
  <si>
    <t xml:space="preserve">Primary aluminium billet. Framework agreement to 12/2027.</t>
  </si>
  <si>
    <t xml:space="preserve">Rheinstahl Metals GmbH</t>
  </si>
  <si>
    <t xml:space="preserve">Steel bar and forged blanks.</t>
  </si>
  <si>
    <t xml:space="preserve">Nord Alloy Trading BV</t>
  </si>
  <si>
    <t xml:space="preserve">NL</t>
  </si>
  <si>
    <t xml:space="preserve">Speciality alloys, 60-day terms.</t>
  </si>
  <si>
    <t xml:space="preserve">Galvanik Nyugat Kft.</t>
  </si>
  <si>
    <t xml:space="preserve">Fortnightly</t>
  </si>
  <si>
    <t xml:space="preserve">Anodising and passivation.</t>
  </si>
  <si>
    <t xml:space="preserve">Thermo-Harteria Kft.</t>
  </si>
  <si>
    <t xml:space="preserve">Heat treatment and stress relieving.</t>
  </si>
  <si>
    <t xml:space="preserve">Precision Tooling Partners GmbH</t>
  </si>
  <si>
    <t xml:space="preserve">Cutting tools and inserts - critical to output, not stretched.</t>
  </si>
  <si>
    <t xml:space="preserve">MRO Industrieservice GmbH</t>
  </si>
  <si>
    <t xml:space="preserve">Spares and planned maintenance.</t>
  </si>
  <si>
    <t xml:space="preserve">TransCarpat Logistics Kft.</t>
  </si>
  <si>
    <t xml:space="preserve">Outbound groupage to DE/AT/PL.</t>
  </si>
  <si>
    <t xml:space="preserve">2  WEEKLY PURCHASE PROFILE</t>
  </si>
  <si>
    <t xml:space="preserve">Production revenue</t>
  </si>
  <si>
    <t xml:space="preserve">Materials</t>
  </si>
  <si>
    <t xml:space="preserve">Subcontract</t>
  </si>
  <si>
    <t xml:space="preserve">Consumables &amp; maintenance</t>
  </si>
  <si>
    <t xml:space="preserve">Logistics</t>
  </si>
  <si>
    <t xml:space="preserve">Purchases are assumed to be invoiced in the week of consumption - see basis of preparation.</t>
  </si>
  <si>
    <t xml:space="preserve">3  OPEN SUPPLIER INVOICE REGISTER AT 24-JUL-26</t>
  </si>
  <si>
    <t xml:space="preserve">Stretch</t>
  </si>
  <si>
    <t xml:space="preserve">Adjusted due</t>
  </si>
  <si>
    <t xml:space="preserve">Payment date</t>
  </si>
  <si>
    <t xml:space="preserve">Payment amount</t>
  </si>
  <si>
    <t xml:space="preserve">SI-8801</t>
  </si>
  <si>
    <t xml:space="preserve">Settled in the Thursday payment run following the due date.</t>
  </si>
  <si>
    <t xml:space="preserve">SI-8802</t>
  </si>
  <si>
    <t xml:space="preserve">SI-8803</t>
  </si>
  <si>
    <t xml:space="preserve">SI-8804</t>
  </si>
  <si>
    <t xml:space="preserve">SI-8805</t>
  </si>
  <si>
    <t xml:space="preserve">SI-8806</t>
  </si>
  <si>
    <t xml:space="preserve">SI-8807</t>
  </si>
  <si>
    <t xml:space="preserve">SI-8808</t>
  </si>
  <si>
    <t xml:space="preserve">SI-8809</t>
  </si>
  <si>
    <t xml:space="preserve">SI-8810</t>
  </si>
  <si>
    <t xml:space="preserve">SI-8811</t>
  </si>
  <si>
    <t xml:space="preserve">SI-8812</t>
  </si>
  <si>
    <t xml:space="preserve">SI-8813</t>
  </si>
  <si>
    <t xml:space="preserve">SI-8814</t>
  </si>
  <si>
    <t xml:space="preserve">SI-8815</t>
  </si>
  <si>
    <t xml:space="preserve">SI-8816</t>
  </si>
  <si>
    <t xml:space="preserve">SI-8817</t>
  </si>
  <si>
    <t xml:space="preserve">SI-8818</t>
  </si>
  <si>
    <t xml:space="preserve">SI-8819</t>
  </si>
  <si>
    <t xml:space="preserve">SI-8820</t>
  </si>
  <si>
    <t xml:space="preserve">SI-8821</t>
  </si>
  <si>
    <t xml:space="preserve">SI-8822</t>
  </si>
  <si>
    <t xml:space="preserve">SI-8823</t>
  </si>
  <si>
    <t xml:space="preserve">SI-8824</t>
  </si>
  <si>
    <t xml:space="preserve">SI-8825</t>
  </si>
  <si>
    <t xml:space="preserve">SI-8826</t>
  </si>
  <si>
    <t xml:space="preserve">SI-8827</t>
  </si>
  <si>
    <t xml:space="preserve">SI-8828</t>
  </si>
  <si>
    <t xml:space="preserve">SI-8829</t>
  </si>
  <si>
    <t xml:space="preserve">SI-8830</t>
  </si>
  <si>
    <t xml:space="preserve">SI-8831</t>
  </si>
  <si>
    <t xml:space="preserve">SI-8832</t>
  </si>
  <si>
    <t xml:space="preserve">SI-8833</t>
  </si>
  <si>
    <t xml:space="preserve">SI-8834</t>
  </si>
  <si>
    <t xml:space="preserve">SI-8835</t>
  </si>
  <si>
    <t xml:space="preserve">SI-8836</t>
  </si>
  <si>
    <t xml:space="preserve">SI-8837</t>
  </si>
  <si>
    <t xml:space="preserve">SI-8838</t>
  </si>
  <si>
    <t xml:space="preserve">SI-8839</t>
  </si>
  <si>
    <t xml:space="preserve">Total open supplier invoices</t>
  </si>
  <si>
    <t xml:space="preserve">Agrees to the trade payables balance on the Assumptions tab.</t>
  </si>
  <si>
    <t xml:space="preserve">4  FORWARD PURCHASE PLAN - DELIVERIES INSIDE THE FORECAST WINDOW</t>
  </si>
  <si>
    <t xml:space="preserve">Total forward purchases</t>
  </si>
  <si>
    <t xml:space="preserve">Materials bought in the window at 45-60 day terms are largely next quarter's cash outflow.</t>
  </si>
  <si>
    <t xml:space="preserve">5  FIXED, STATUTORY AND CAPITAL PAYMENT CALENDAR</t>
  </si>
  <si>
    <t xml:space="preserve">Item</t>
  </si>
  <si>
    <t xml:space="preserve">Reference</t>
  </si>
  <si>
    <t xml:space="preserve">Statutory / contractual date</t>
  </si>
  <si>
    <t xml:space="preserve">Property lease - August</t>
  </si>
  <si>
    <t xml:space="preserve">Lease agr. 2019/14</t>
  </si>
  <si>
    <t xml:space="preserve">Monthly instalment payable on the 1st; adjusted to the next working day.</t>
  </si>
  <si>
    <t xml:space="preserve">Property lease - September</t>
  </si>
  <si>
    <t xml:space="preserve">Property lease - October</t>
  </si>
  <si>
    <t xml:space="preserve">Payroll - July net wages</t>
  </si>
  <si>
    <t xml:space="preserve">Collective agr. cl. 8</t>
  </si>
  <si>
    <t xml:space="preserve">Net wages paid on the 10th of the following month. Payroll continues through the shutdown - statutory paid downtime.</t>
  </si>
  <si>
    <t xml:space="preserve">Payroll - August net wages</t>
  </si>
  <si>
    <t xml:space="preserve">Payroll - September net wages</t>
  </si>
  <si>
    <t xml:space="preserve">PIT &amp; social contributions - July</t>
  </si>
  <si>
    <t xml:space="preserve">NAV 08 return</t>
  </si>
  <si>
    <t xml:space="preserve">Due by the 12th of the following month.</t>
  </si>
  <si>
    <t xml:space="preserve">PIT &amp; social contributions - August</t>
  </si>
  <si>
    <t xml:space="preserve">PIT &amp; social contributions - September</t>
  </si>
  <si>
    <t xml:space="preserve">Energy - July consumption</t>
  </si>
  <si>
    <t xml:space="preserve">Supplier acct 552-118</t>
  </si>
  <si>
    <t xml:space="preserve">Paid on the 15th for the previous month's consumption.</t>
  </si>
  <si>
    <t xml:space="preserve">Energy - August consumption</t>
  </si>
  <si>
    <t xml:space="preserve">Shutdown month: 55% of a normal month, standing charges continue.</t>
  </si>
  <si>
    <t xml:space="preserve">Energy - September consumption</t>
  </si>
  <si>
    <t xml:space="preserve">Peak output month plus early heating load.</t>
  </si>
  <si>
    <t xml:space="preserve">Other overheads - August</t>
  </si>
  <si>
    <t xml:space="preserve">Aggregate 30-day terms</t>
  </si>
  <si>
    <t xml:space="preserve">IT, insurance, audit and professional fees, paid on the 25th.</t>
  </si>
  <si>
    <t xml:space="preserve">Other overheads - September</t>
  </si>
  <si>
    <t xml:space="preserve">Other overheads - October</t>
  </si>
  <si>
    <t xml:space="preserve">Adjusted to Monday 26-Oct-26 - falls outside the window.</t>
  </si>
  <si>
    <t xml:space="preserve">Annual property &amp; liability insurance premium</t>
  </si>
  <si>
    <t xml:space="preserve">Policy 2026/HU-4417</t>
  </si>
  <si>
    <t xml:space="preserve">Annual renewal on 1 October, premium payable within seven days. Falls straight into the tightest week of the quarter.</t>
  </si>
  <si>
    <t xml:space="preserve">Routine capex - August</t>
  </si>
  <si>
    <t xml:space="preserve">AFE register</t>
  </si>
  <si>
    <t xml:space="preserve">Fixtures and gauges, released monthly against the AFE register.</t>
  </si>
  <si>
    <t xml:space="preserve">Routine capex - September</t>
  </si>
  <si>
    <t xml:space="preserve">Routine capex - October</t>
  </si>
  <si>
    <t xml:space="preserve">Local business tax (HIPA) - advance</t>
  </si>
  <si>
    <t xml:space="preserve">Act C of 1990</t>
  </si>
  <si>
    <t xml:space="preserve">Second semi-annual advance, due 15 September.</t>
  </si>
  <si>
    <t xml:space="preserve">Corporate income tax - Q3 advance</t>
  </si>
  <si>
    <t xml:space="preserve">NAV 01 return</t>
  </si>
  <si>
    <t xml:space="preserve">Quarterly advance, due by the 20th of the month following the quarter.</t>
  </si>
  <si>
    <t xml:space="preserve">Innovation contribution - Q3</t>
  </si>
  <si>
    <t xml:space="preserve">Act LXXVI of 2014</t>
  </si>
  <si>
    <t xml:space="preserve">Quarterly advance on the same date as the corporate income tax advance.</t>
  </si>
  <si>
    <t xml:space="preserve">Term loan - Q3 amortisation</t>
  </si>
  <si>
    <t xml:space="preserve">Facility B, cl. 6.1</t>
  </si>
  <si>
    <t xml:space="preserve">Contractual quarterly repayment.</t>
  </si>
  <si>
    <t xml:space="preserve">Capex milestone 1 - order confirmation (20%)</t>
  </si>
  <si>
    <t xml:space="preserve">PO 2026-0042</t>
  </si>
  <si>
    <t xml:space="preserve">5-axis machining centre, total contract EUR 1,550k. Stage payment on order confirmation.</t>
  </si>
  <si>
    <t xml:space="preserve">Capex milestone 2 - delivery &amp; acceptance (50%)</t>
  </si>
  <si>
    <t xml:space="preserve">The single largest controllable outflow in the window. Deferred by the mitigation package.</t>
  </si>
  <si>
    <t xml:space="preserve">Capex milestone 3 - FAT sign-off (30%)</t>
  </si>
  <si>
    <t xml:space="preserve">Falls outside the window - shown for completeness.</t>
  </si>
  <si>
    <t xml:space="preserve">Total calendar payments</t>
  </si>
  <si>
    <t xml:space="preserve">Includes two items dated outside the 13-week window; the grid picks up only what falls inside it.</t>
  </si>
  <si>
    <t xml:space="preserve">SCENARIOS, SENSITIVITY &amp; MITIGATION PACKAGE</t>
  </si>
  <si>
    <t xml:space="preserve">Halcyon Metalworks Kft.  |  the three levers below feed the live model - the sensitivity engine underneath re-runs the grid without changing it</t>
  </si>
  <si>
    <t xml:space="preserve">SCENARIO DEFINITIONS</t>
  </si>
  <si>
    <t xml:space="preserve">Lever</t>
  </si>
  <si>
    <t xml:space="preserve">1  Base</t>
  </si>
  <si>
    <t xml:space="preserve">2  Downside</t>
  </si>
  <si>
    <t xml:space="preserve">3  Upside</t>
  </si>
  <si>
    <t xml:space="preserve">Active</t>
  </si>
  <si>
    <t xml:space="preserve">Scenario name</t>
  </si>
  <si>
    <t xml:space="preserve">Base</t>
  </si>
  <si>
    <t xml:space="preserve">Downside</t>
  </si>
  <si>
    <t xml:space="preserve">Upside</t>
  </si>
  <si>
    <t xml:space="preserve">Set the selector on the Assumptions tab.</t>
  </si>
  <si>
    <t xml:space="preserve">Sales volume factor</t>
  </si>
  <si>
    <t xml:space="preserve">Downside: loss of one Aurelia platform to a second-source supplier from September. Upside: Kessler call-off increase already indicated.</t>
  </si>
  <si>
    <t xml:space="preserve">Collection delay - shift on invoices due after the forecast date</t>
  </si>
  <si>
    <t xml:space="preserve">Downside: 10 days of slippage across the trade book. This is the dominant risk - see the sensitivity engine below.</t>
  </si>
  <si>
    <t xml:space="preserve">Release of invoices under quality claim - shift</t>
  </si>
  <si>
    <t xml:space="preserve">Downside: the 8D closure slips a month and the withheld invoices move out of the window entirely.</t>
  </si>
  <si>
    <t xml:space="preserve">MITIGATION PACKAGE - THE THREE ACTIONS AVAILABLE TO MANAGEMENT</t>
  </si>
  <si>
    <t xml:space="preserve">Cash effect EUR '000</t>
  </si>
  <si>
    <t xml:space="preserve">Lands in</t>
  </si>
  <si>
    <t xml:space="preserve">Cost</t>
  </si>
  <si>
    <t xml:space="preserve">Owner / basis</t>
  </si>
  <si>
    <t xml:space="preserve">Defer acceptance of capex milestone 2 by three weeks</t>
  </si>
  <si>
    <t xml:space="preserve">None</t>
  </si>
  <si>
    <t xml:space="preserve">Operations director. Vendor has confirmed a revised acceptance date; the machine is not in production until December in any case.</t>
  </si>
  <si>
    <t xml:space="preserve">Factor three OEM invoices under the non-recourse facility</t>
  </si>
  <si>
    <t xml:space="preserve">CFO. Advance received three working days after assignment; the fee is the only real cost of the package.</t>
  </si>
  <si>
    <t xml:space="preserve">Extend materials and subcontract terms by 15 days</t>
  </si>
  <si>
    <t xml:space="preserve">Weeks 11-13</t>
  </si>
  <si>
    <t xml:space="preserve">Relationship</t>
  </si>
  <si>
    <t xml:space="preserve">Procurement lead. One-off benefit of a single payment run - it does not repeat, and tooling is excluded.</t>
  </si>
  <si>
    <t xml:space="preserve">Total package</t>
  </si>
  <si>
    <t xml:space="preserve">Set Assumptions B10 to 1 to run the package through the model.</t>
  </si>
  <si>
    <t xml:space="preserve">SENSITIVITY ENGINE - COLLECTION DELAY (LIVE, RE-RUNS THE GRID ON SHIFTED COLLECTION DATES)</t>
  </si>
  <si>
    <t xml:space="preserve">Each case below re-slices the same invoice registers on receipt dates shifted by the number of days shown, holds the payment profile constant, and re-runs the RCF sweep. Case 0 must reproduce the main grid exactly - the Checks tab proves it.</t>
  </si>
  <si>
    <t xml:space="preserve">Additional collection delay</t>
  </si>
  <si>
    <t xml:space="preserve">Minimum total liquidity EUR '000</t>
  </si>
  <si>
    <t xml:space="preserve">Trough week</t>
  </si>
  <si>
    <t xml:space="preserve">0 days (as modelled)</t>
  </si>
  <si>
    <t xml:space="preserve">+3 days</t>
  </si>
  <si>
    <t xml:space="preserve">+5 days</t>
  </si>
  <si>
    <t xml:space="preserve">+10 days</t>
  </si>
  <si>
    <t xml:space="preserve">+15 days</t>
  </si>
  <si>
    <t xml:space="preserve">RECORDED RUN LOG - SCENARIO X MITIGATION</t>
  </si>
  <si>
    <t xml:space="preserve">Volume and the mitigation package change the payment profile as well as receipts, so they are run through the model itself rather than approximated here. The values below were recorded from live runs on 24-Jul-26; the live column reproduces whichever combination is currently selected, so any row can be verified in two clicks.</t>
  </si>
  <si>
    <t xml:space="preserve">Run</t>
  </si>
  <si>
    <t xml:space="preserve">Mitigation</t>
  </si>
  <si>
    <t xml:space="preserve">Live check</t>
  </si>
  <si>
    <t xml:space="preserve">Not applied</t>
  </si>
  <si>
    <t xml:space="preserve">W11</t>
  </si>
  <si>
    <t xml:space="preserve">Applied</t>
  </si>
  <si>
    <t xml:space="preserve">W1</t>
  </si>
  <si>
    <t xml:space="preserve">W12</t>
  </si>
  <si>
    <t xml:space="preserve">W3</t>
  </si>
  <si>
    <t xml:space="preserve">Read across: the base case holds the covenant with under 200k to spare, the downside case breaches it by more than 800k, and the mitigation package is enough to hold the covenant even in the downside - but only just, and only if it is actioned in September.</t>
  </si>
  <si>
    <t xml:space="preserve">SENSITIVITY ENGINE WORKING - COLLECTION DATES SHIFTED, PAYMENT PROFILE HELD</t>
  </si>
  <si>
    <t xml:space="preserve">Working area. Receipts are re-sliced from the same registers on windows shifted back by the delay being tested, so a shifted window is arithmetically identical to shifted receipt dates. Invoices in the Fixed shift group - already-due invoices, withheld invoices, factored invoices and VAT refunds - are held on their own dates.</t>
  </si>
  <si>
    <t xml:space="preserve">CASE: COLLECTIONS +0 DAYS</t>
  </si>
  <si>
    <t xml:space="preserve">Trade receipts (shifted)</t>
  </si>
  <si>
    <t xml:space="preserve">Fixed receipts</t>
  </si>
  <si>
    <t xml:space="preserve">Net cash flow</t>
  </si>
  <si>
    <t xml:space="preserve">RCF opening</t>
  </si>
  <si>
    <t xml:space="preserve">RCF movement</t>
  </si>
  <si>
    <t xml:space="preserve">Undrawn RCF</t>
  </si>
  <si>
    <t xml:space="preserve">Total liquidity</t>
  </si>
  <si>
    <t xml:space="preserve">CASE: COLLECTIONS +3 DAYS</t>
  </si>
  <si>
    <t xml:space="preserve">CASE: COLLECTIONS +5 DAYS</t>
  </si>
  <si>
    <t xml:space="preserve">CASE: COLLECTIONS +10 DAYS</t>
  </si>
  <si>
    <t xml:space="preserve">CASE: COLLECTIONS +15 DAYS</t>
  </si>
  <si>
    <t xml:space="preserve">ASSUMPTIONS, DRIVERS &amp; CONTROL PANEL</t>
  </si>
  <si>
    <t xml:space="preserve">Halcyon Metalworks Kft.  |  forecast as at 24 July 2026  |  all amounts EUR '000 unless stated  |  blue = input, green = link, black = calculated</t>
  </si>
  <si>
    <t xml:space="preserve">FORECAST CONTROL</t>
  </si>
  <si>
    <t xml:space="preserve">Forecast prepared as at</t>
  </si>
  <si>
    <t xml:space="preserve">date</t>
  </si>
  <si>
    <t xml:space="preserve">Friday close of business. Bank balances agreed to online banking.</t>
  </si>
  <si>
    <t xml:space="preserve">Week 1 commencing (Monday)</t>
  </si>
  <si>
    <t xml:space="preserve">ROLL-FORWARD CELL. Change this one date and the entire pack re-slices to the new 13 weeks.</t>
  </si>
  <si>
    <t xml:space="preserve">Forecast horizon</t>
  </si>
  <si>
    <t xml:space="preserve">weeks</t>
  </si>
  <si>
    <t xml:space="preserve">Grid is built for 13 columns. Extending the horizon means adding columns, not changing this cell.</t>
  </si>
  <si>
    <t xml:space="preserve">Scenario selector</t>
  </si>
  <si>
    <t xml:space="preserve">1 / 2 / 3</t>
  </si>
  <si>
    <t xml:space="preserve">1 = Base, 2 = Downside, 3 = Upside. Definitions on the Scenarios tab.</t>
  </si>
  <si>
    <t xml:space="preserve">Active scenario</t>
  </si>
  <si>
    <t xml:space="preserve">name</t>
  </si>
  <si>
    <t xml:space="preserve">Driven by the selector above.</t>
  </si>
  <si>
    <t xml:space="preserve">Mitigation package applied</t>
  </si>
  <si>
    <t xml:space="preserve">0 / 1</t>
  </si>
  <si>
    <t xml:space="preserve">0 = forecast as it stands. 1 = applies the three management actions set out on the Scenarios tab.</t>
  </si>
  <si>
    <t xml:space="preserve">OPENING POSITION AT 24-JUL-26</t>
  </si>
  <si>
    <t xml:space="preserve">Cash at bank</t>
  </si>
  <si>
    <t xml:space="preserve">EUR '000</t>
  </si>
  <si>
    <t xml:space="preserve">Aggregate of three current accounts, agreed to bank statements at 24-Jul-26.</t>
  </si>
  <si>
    <t xml:space="preserve">Revolving credit facility (RCF) - limit</t>
  </si>
  <si>
    <t xml:space="preserve">Committed multi-currency RCF, renewal date 30-Jun-2027.</t>
  </si>
  <si>
    <t xml:space="preserve">RCF - drawn at forecast date</t>
  </si>
  <si>
    <t xml:space="preserve">86% utilised before the October payment cluster - the reason this forecast exists.</t>
  </si>
  <si>
    <t xml:space="preserve">Term loan - outstanding</t>
  </si>
  <si>
    <t xml:space="preserve">Machine finance facility, quarterly amortisation of EUR 200k.</t>
  </si>
  <si>
    <t xml:space="preserve">Target minimum operating cash balance</t>
  </si>
  <si>
    <t xml:space="preserve">Treasury policy floor. The RCF is swept to hold cash at this level.</t>
  </si>
  <si>
    <t xml:space="preserve">Minimum liquidity covenant (cash + undrawn RCF)</t>
  </si>
  <si>
    <t xml:space="preserve">Facility agreement cl. 21.2, tested weekly on the Friday position.</t>
  </si>
  <si>
    <t xml:space="preserve">Trade receivables per register</t>
  </si>
  <si>
    <t xml:space="preserve">Sum of the open invoice register on the Receipts Build tab.</t>
  </si>
  <si>
    <t xml:space="preserve">Trade payables per register</t>
  </si>
  <si>
    <t xml:space="preserve">Sum of the open supplier invoice register on the Payments Build tab.</t>
  </si>
  <si>
    <t xml:space="preserve">Implied DSO / DPO at forecast date</t>
  </si>
  <si>
    <t xml:space="preserve">days</t>
  </si>
  <si>
    <t xml:space="preserve">DSO on annualised revenue. Reflects the 90-day OEM terms that drive the working capital position.</t>
  </si>
  <si>
    <t xml:space="preserve">TRADING ASSUMPTIONS</t>
  </si>
  <si>
    <t xml:space="preserve">Annualised net revenue</t>
  </si>
  <si>
    <t xml:space="preserve">FY2026 latest forecast (LE3), signed off by the plant director on 17-Jul-26.</t>
  </si>
  <si>
    <t xml:space="preserve">Base weekly revenue</t>
  </si>
  <si>
    <t xml:space="preserve">Annual revenue / 52. Weekly shape is applied on the Receipts Build tab.</t>
  </si>
  <si>
    <t xml:space="preserve">Materials &amp; purchased parts</t>
  </si>
  <si>
    <t xml:space="preserve">% of revenue</t>
  </si>
  <si>
    <t xml:space="preserve">12-month actual material content per the standard cost roll.</t>
  </si>
  <si>
    <t xml:space="preserve">Anodising, passivation and heat treatment.</t>
  </si>
  <si>
    <t xml:space="preserve">Cutting tools, inserts, spares and planned maintenance.</t>
  </si>
  <si>
    <t xml:space="preserve">Outbound groupage, incoterms DAP for the German accounts.</t>
  </si>
  <si>
    <t xml:space="preserve">Scrap &amp; by-product income</t>
  </si>
  <si>
    <t xml:space="preserve">Aluminium swarf and offcuts sold weekly, settled at 14 days.</t>
  </si>
  <si>
    <t xml:space="preserve">FIXED MONTHLY CASH COSTS</t>
  </si>
  <si>
    <t xml:space="preserve">EUR '000 / mth</t>
  </si>
  <si>
    <t xml:space="preserve">263 employees. Paid on the 10th of the following month per the collective agreement.</t>
  </si>
  <si>
    <t xml:space="preserve">PIT and social contributions, due by the 12th of the following month.</t>
  </si>
  <si>
    <t xml:space="preserve">Energy - electricity &amp; gas</t>
  </si>
  <si>
    <t xml:space="preserve">Normal-month consumption on the hedged tariff. Shutdown month factored on the Payments Build tab.</t>
  </si>
  <si>
    <t xml:space="preserve">Property lease (IFRS 16 cash payment)</t>
  </si>
  <si>
    <t xml:space="preserve">Plant and office lease, paid on the 1st.</t>
  </si>
  <si>
    <t xml:space="preserve">Other overheads - IT, insurance, professional</t>
  </si>
  <si>
    <t xml:space="preserve">Paid on the 25th on aggregate 30-day terms.</t>
  </si>
  <si>
    <t xml:space="preserve">Routine capex</t>
  </si>
  <si>
    <t xml:space="preserve">Fixture and gauge replacement, outside the machining centre programme.</t>
  </si>
  <si>
    <t xml:space="preserve">FINANCING &amp; STATUTORY</t>
  </si>
  <si>
    <t xml:space="preserve">RCF interest rate</t>
  </si>
  <si>
    <t xml:space="preserve">% p.a.</t>
  </si>
  <si>
    <t xml:space="preserve">3M EURIBOR + 235bps, all-in rate at the last reset.</t>
  </si>
  <si>
    <t xml:space="preserve">Term loan interest rate</t>
  </si>
  <si>
    <t xml:space="preserve">Fixed rate machine finance.</t>
  </si>
  <si>
    <t xml:space="preserve">Commitment fee on undrawn RCF</t>
  </si>
  <si>
    <t xml:space="preserve">Facility agreement cl. 9.1.</t>
  </si>
  <si>
    <t xml:space="preserve">Bank charges</t>
  </si>
  <si>
    <t xml:space="preserve">Transaction and FX charges, average of the last six months.</t>
  </si>
  <si>
    <t xml:space="preserve">Term loan quarterly amortisation</t>
  </si>
  <si>
    <t xml:space="preserve">Due 30-Sep-26 within this window.</t>
  </si>
  <si>
    <t xml:space="preserve">VAT refund lag after month end</t>
  </si>
  <si>
    <t xml:space="preserve">Monthly filer in a net reclaim position (intra-community supplies). Refunds received 45-55 days after month end.</t>
  </si>
  <si>
    <t xml:space="preserve">VAT standard rate</t>
  </si>
  <si>
    <t xml:space="preserve">%</t>
  </si>
  <si>
    <t xml:space="preserve">Hungarian standard rate.</t>
  </si>
  <si>
    <t xml:space="preserve">MITIGATION PACKAGE LEVERS - LIVE ONLY WHEN THE TOGGLE ABOVE IS SET TO 1</t>
  </si>
  <si>
    <t xml:space="preserve">Capex milestone 2 - deferral</t>
  </si>
  <si>
    <t xml:space="preserve">Deferring acceptance of the machining centre by three weeks, agreed in principle with the vendor.</t>
  </si>
  <si>
    <t xml:space="preserve">Supplier terms extension on eligible spend</t>
  </si>
  <si>
    <t xml:space="preserve">Materials and subcontract only. Tooling and maintenance are excluded - they stop the line.</t>
  </si>
  <si>
    <t xml:space="preserve">Invoice factoring - fee</t>
  </si>
  <si>
    <t xml:space="preserve">% of face</t>
  </si>
  <si>
    <t xml:space="preserve">Non-recourse facility quote, 1.2% flat on 60-90 day OEM paper.</t>
  </si>
  <si>
    <t xml:space="preserve">Invoice factoring - advance date</t>
  </si>
  <si>
    <t xml:space="preserve">Three working days from submission of the assigned invoice schedule.</t>
  </si>
  <si>
    <t xml:space="preserve">BASIS OF PREPARATION</t>
  </si>
  <si>
    <t xml:space="preserve">-</t>
  </si>
  <si>
    <t xml:space="preserve">Direct method. Every line on the weekly grid is a SUMIFS over a dated schedule on the Receipts Build or Payments Build tab - nothing is typed straight into the grid.</t>
  </si>
  <si>
    <t xml:space="preserve">Payments are shown as negative. Receipts are positive. The 13-week total column sums flows; for balances it shows the week 13 closing position.</t>
  </si>
  <si>
    <t xml:space="preserve">Bank interest is charged on the opening RCF and term loan balances in the week containing month end. Charging on opening balances keeps the model free of circular references.</t>
  </si>
  <si>
    <t xml:space="preserve">The RCF is modelled as a sweep: it draws only what is needed to hold cash at the treasury floor, and repays surplus cash automatically, capped at the facility limit.</t>
  </si>
  <si>
    <t xml:space="preserve">The collection-delay sensitivity applies to invoices falling due after the forecast date. Invoices already due are assumed to collect on their established behavioural pattern.</t>
  </si>
  <si>
    <t xml:space="preserve">Purchases are assumed to be invoiced in the week of consumption. In practice material deliveries lead production by around one week; the effect on a weekly grid is immaterial.</t>
  </si>
  <si>
    <t xml:space="preserve">All figures are illustrative and relate to a fictional company. No client data of any kind is used in this file.</t>
  </si>
  <si>
    <t xml:space="preserve">INTEGRITY CHECKS</t>
  </si>
  <si>
    <t xml:space="preserve">Halcyon Metalworks Kft.  |  every check must read OK before the pack is issued  |  EUR '000</t>
  </si>
  <si>
    <t xml:space="preserve">Master control</t>
  </si>
  <si>
    <t xml:space="preserve">Check</t>
  </si>
  <si>
    <t xml:space="preserve">Expected</t>
  </si>
  <si>
    <t xml:space="preserve">Actual</t>
  </si>
  <si>
    <t xml:space="preserve">Difference</t>
  </si>
  <si>
    <t xml:space="preserve">What it proves</t>
  </si>
  <si>
    <t xml:space="preserve">Closing cash equals opening cash plus the net movement, every week</t>
  </si>
  <si>
    <t xml:space="preserve">The cash roll-forward is arithmetically closed.</t>
  </si>
  <si>
    <t xml:space="preserve">Opening cash each week equals the prior week's closing cash</t>
  </si>
  <si>
    <t xml:space="preserve">No breaks in the weekly chain.</t>
  </si>
  <si>
    <t xml:space="preserve">Total receipts equals the sum of the receipt lines</t>
  </si>
  <si>
    <t xml:space="preserve">Nothing is double counted or omitted in the receipts block.</t>
  </si>
  <si>
    <t xml:space="preserve">Total payments equals the sum of the payment lines</t>
  </si>
  <si>
    <t xml:space="preserve">Nothing is double counted or omitted in the payments block.</t>
  </si>
  <si>
    <t xml:space="preserve">Collections in the grid agree to the invoice registers</t>
  </si>
  <si>
    <t xml:space="preserve">Every receipt on the grid traces to a dated line on a schedule, and none is missed.</t>
  </si>
  <si>
    <t xml:space="preserve">Payments in the grid agree to the payment schedules</t>
  </si>
  <si>
    <t xml:space="preserve">Same test on the disbursement side, excluding interest which is calculated on the grid.</t>
  </si>
  <si>
    <t xml:space="preserve">Trade receivables per register agree to the opening position</t>
  </si>
  <si>
    <t xml:space="preserve">The register is complete, not a sample.</t>
  </si>
  <si>
    <t xml:space="preserve">Trade payables per register agree to the opening position</t>
  </si>
  <si>
    <t xml:space="preserve">As above for the payables register.</t>
  </si>
  <si>
    <t xml:space="preserve">RCF drawn never exceeds the facility limit</t>
  </si>
  <si>
    <t xml:space="preserve">The sweep respects the committed limit.</t>
  </si>
  <si>
    <t xml:space="preserve">RCF drawn is never negative</t>
  </si>
  <si>
    <t xml:space="preserve">The facility is not used as a deposit account.</t>
  </si>
  <si>
    <t xml:space="preserve">Term loan rolls forward correctly</t>
  </si>
  <si>
    <t xml:space="preserve">Closing debt equals opening debt less contractual amortisation.</t>
  </si>
  <si>
    <t xml:space="preserve">Every invoice on the registers has a valid expected receipt date</t>
  </si>
  <si>
    <t xml:space="preserve">No blank or broken dates hiding receipts from the grid.</t>
  </si>
  <si>
    <t xml:space="preserve">No formula errors anywhere on the weekly grid</t>
  </si>
  <si>
    <t xml:space="preserve">Self-explanatory, and worth testing every time.</t>
  </si>
  <si>
    <t xml:space="preserve">Sensitivity engine reproduces the grid at zero days of slippage</t>
  </si>
  <si>
    <t xml:space="preserve">The engine is a genuine re-run of the model, not a linear approximation.</t>
  </si>
  <si>
    <t xml:space="preserve">13-week total column agrees to the sum of the weeks</t>
  </si>
  <si>
    <t xml:space="preserve">The total column is not a stale hardcode.</t>
  </si>
  <si>
    <t xml:space="preserve">Scenario selector is valid</t>
  </si>
  <si>
    <t xml:space="preserve">Guards against an out-of-range selector silently returning an error.</t>
  </si>
  <si>
    <t xml:space="preserve">Checks 5 and 6 are the ones that matter most in a cash forecast: they prove that the grid is nothing more than a re-slice of the underlying invoice and payment schedules. If a receipt is not on a schedule with a date, it cannot appear in the forecast.</t>
  </si>
</sst>
</file>

<file path=xl/styles.xml><?xml version="1.0" encoding="utf-8"?>
<styleSheet xmlns="http://schemas.openxmlformats.org/spreadsheetml/2006/main">
  <numFmts count="12">
    <numFmt numFmtId="164" formatCode="General"/>
    <numFmt numFmtId="165" formatCode="dd\ mmmm\ yyyy"/>
    <numFmt numFmtId="166" formatCode="#,##0;\(#,##0\);\-"/>
    <numFmt numFmtId="167" formatCode="#,##0.0&quot; days&quot;"/>
    <numFmt numFmtId="168" formatCode="#,##0"/>
    <numFmt numFmtId="169" formatCode="\W0"/>
    <numFmt numFmtId="170" formatCode="dd\-mmm"/>
    <numFmt numFmtId="171" formatCode="0.0%"/>
    <numFmt numFmtId="172" formatCode="#,##0&quot; d&quot;"/>
    <numFmt numFmtId="173" formatCode="dd\-mmm\-yy"/>
    <numFmt numFmtId="174" formatCode="#,##0.0;\(#,##0.0\);\-"/>
    <numFmt numFmtId="175" formatCode="0.00%"/>
  </numFmts>
  <fonts count="42">
    <font>
      <sz val="11"/>
      <color theme="1"/>
      <name val="Calibri"/>
      <family val="2"/>
      <charset val="1"/>
    </font>
    <font>
      <sz val="10"/>
      <name val="Arial"/>
      <family val="0"/>
    </font>
    <font>
      <sz val="10"/>
      <name val="Arial"/>
      <family val="0"/>
    </font>
    <font>
      <sz val="10"/>
      <name val="Arial"/>
      <family val="0"/>
    </font>
    <font>
      <b val="true"/>
      <sz val="15"/>
      <color rgb="FFC3D600"/>
      <name val="Arial"/>
      <family val="0"/>
      <charset val="1"/>
    </font>
    <font>
      <b val="true"/>
      <sz val="26"/>
      <color rgb="FFFFFFFF"/>
      <name val="Arial"/>
      <family val="0"/>
      <charset val="1"/>
    </font>
    <font>
      <sz val="11"/>
      <color rgb="FFC9CFD4"/>
      <name val="Arial"/>
      <family val="0"/>
      <charset val="1"/>
    </font>
    <font>
      <i val="true"/>
      <sz val="9.5"/>
      <color rgb="FFC3D600"/>
      <name val="Arial"/>
      <family val="0"/>
      <charset val="1"/>
    </font>
    <font>
      <b val="true"/>
      <sz val="9"/>
      <color rgb="FF5F6A73"/>
      <name val="Arial"/>
      <family val="0"/>
      <charset val="1"/>
    </font>
    <font>
      <b val="true"/>
      <sz val="11"/>
      <color rgb="FF1F2429"/>
      <name val="Arial"/>
      <family val="0"/>
      <charset val="1"/>
    </font>
    <font>
      <sz val="10"/>
      <color rgb="FF1F2429"/>
      <name val="Arial"/>
      <family val="0"/>
      <charset val="1"/>
    </font>
    <font>
      <b val="true"/>
      <sz val="9.5"/>
      <color rgb="FFFFFFFF"/>
      <name val="Arial"/>
      <family val="0"/>
      <charset val="1"/>
    </font>
    <font>
      <sz val="9.5"/>
      <color rgb="FF1F2429"/>
      <name val="Arial"/>
      <family val="0"/>
      <charset val="1"/>
    </font>
    <font>
      <b val="true"/>
      <sz val="8.5"/>
      <color rgb="FFFFFFFF"/>
      <name val="Arial"/>
      <family val="0"/>
      <charset val="1"/>
    </font>
    <font>
      <b val="true"/>
      <sz val="9"/>
      <color rgb="FF1F2429"/>
      <name val="Arial"/>
      <family val="0"/>
      <charset val="1"/>
    </font>
    <font>
      <sz val="8.5"/>
      <color rgb="FF5F6A73"/>
      <name val="Arial"/>
      <family val="0"/>
      <charset val="1"/>
    </font>
    <font>
      <sz val="9"/>
      <color rgb="FF1F2429"/>
      <name val="Arial"/>
      <family val="0"/>
      <charset val="1"/>
    </font>
    <font>
      <b val="true"/>
      <sz val="14"/>
      <color rgb="FFFFFFFF"/>
      <name val="Arial"/>
      <family val="0"/>
      <charset val="1"/>
    </font>
    <font>
      <sz val="9"/>
      <color rgb="FF5F6A73"/>
      <name val="Arial"/>
      <family val="0"/>
      <charset val="1"/>
    </font>
    <font>
      <b val="true"/>
      <sz val="8"/>
      <color rgb="FFC3D600"/>
      <name val="Arial"/>
      <family val="0"/>
      <charset val="1"/>
    </font>
    <font>
      <b val="true"/>
      <sz val="20"/>
      <color rgb="FFFFFFFF"/>
      <name val="Arial"/>
      <family val="0"/>
      <charset val="1"/>
    </font>
    <font>
      <sz val="8"/>
      <color rgb="FFC9CFD4"/>
      <name val="Arial"/>
      <family val="0"/>
      <charset val="1"/>
    </font>
    <font>
      <sz val="8.5"/>
      <color rgb="FF1F2429"/>
      <name val="Arial"/>
      <family val="0"/>
      <charset val="1"/>
    </font>
    <font>
      <b val="true"/>
      <sz val="8.5"/>
      <color rgb="FF1F2429"/>
      <name val="Arial"/>
      <family val="0"/>
      <charset val="1"/>
    </font>
    <font>
      <i val="true"/>
      <sz val="8"/>
      <color rgb="FF5F6A73"/>
      <name val="Arial"/>
      <family val="0"/>
      <charset val="1"/>
    </font>
    <font>
      <sz val="10"/>
      <color rgb="FF000000"/>
      <name val="Calibri"/>
      <family val="2"/>
    </font>
    <font>
      <b val="true"/>
      <sz val="13"/>
      <color rgb="FFFFFFFF"/>
      <name val="Arial"/>
      <family val="0"/>
      <charset val="1"/>
    </font>
    <font>
      <b val="true"/>
      <sz val="9"/>
      <color rgb="FFFFFFFF"/>
      <name val="Arial"/>
      <family val="0"/>
      <charset val="1"/>
    </font>
    <font>
      <b val="true"/>
      <sz val="9.5"/>
      <color rgb="FF1F2429"/>
      <name val="Arial"/>
      <family val="0"/>
      <charset val="1"/>
    </font>
    <font>
      <sz val="8"/>
      <color rgb="FF5F6A73"/>
      <name val="Arial"/>
      <family val="0"/>
      <charset val="1"/>
    </font>
    <font>
      <sz val="10"/>
      <name val="Arial"/>
      <family val="2"/>
    </font>
    <font>
      <sz val="9.5"/>
      <color rgb="FF0000FF"/>
      <name val="Arial"/>
      <family val="0"/>
      <charset val="1"/>
    </font>
    <font>
      <sz val="9.5"/>
      <color rgb="FF5F6A73"/>
      <name val="Arial"/>
      <family val="0"/>
      <charset val="1"/>
    </font>
    <font>
      <i val="true"/>
      <sz val="8.5"/>
      <color rgb="FF5F6A73"/>
      <name val="Arial"/>
      <family val="0"/>
      <charset val="1"/>
    </font>
    <font>
      <sz val="9.5"/>
      <color rgb="FF008000"/>
      <name val="Arial"/>
      <family val="0"/>
      <charset val="1"/>
    </font>
    <font>
      <sz val="8.5"/>
      <color rgb="FF0000FF"/>
      <name val="Arial"/>
      <family val="0"/>
      <charset val="1"/>
    </font>
    <font>
      <sz val="8"/>
      <color rgb="FFA8271B"/>
      <name val="Arial"/>
      <family val="0"/>
      <charset val="1"/>
    </font>
    <font>
      <sz val="9"/>
      <color rgb="FF0000FF"/>
      <name val="Arial"/>
      <family val="0"/>
      <charset val="1"/>
    </font>
    <font>
      <b val="true"/>
      <sz val="9.5"/>
      <color rgb="FF0000FF"/>
      <name val="Arial"/>
      <family val="0"/>
      <charset val="1"/>
    </font>
    <font>
      <b val="true"/>
      <sz val="9.5"/>
      <color rgb="FF008000"/>
      <name val="Arial"/>
      <family val="0"/>
      <charset val="1"/>
    </font>
    <font>
      <b val="true"/>
      <sz val="9"/>
      <color rgb="FF008000"/>
      <name val="Arial"/>
      <family val="0"/>
      <charset val="1"/>
    </font>
    <font>
      <sz val="9"/>
      <color rgb="FF8A9C00"/>
      <name val="Arial"/>
      <family val="0"/>
      <charset val="1"/>
    </font>
  </fonts>
  <fills count="10">
    <fill>
      <patternFill patternType="none"/>
    </fill>
    <fill>
      <patternFill patternType="gray125"/>
    </fill>
    <fill>
      <patternFill patternType="solid">
        <fgColor rgb="FF1F2429"/>
        <bgColor rgb="FF343C44"/>
      </patternFill>
    </fill>
    <fill>
      <patternFill patternType="solid">
        <fgColor rgb="FF343C44"/>
        <bgColor rgb="FF1F2429"/>
      </patternFill>
    </fill>
    <fill>
      <patternFill patternType="solid">
        <fgColor rgb="FFF2F7CC"/>
        <bgColor rgb="FFFFF7C4"/>
      </patternFill>
    </fill>
    <fill>
      <patternFill patternType="solid">
        <fgColor rgb="FFC3D600"/>
        <bgColor rgb="FFFFCC00"/>
      </patternFill>
    </fill>
    <fill>
      <patternFill patternType="solid">
        <fgColor rgb="FFF2F4F5"/>
        <bgColor rgb="FFE6EAEC"/>
      </patternFill>
    </fill>
    <fill>
      <patternFill patternType="solid">
        <fgColor rgb="FFE6EAEC"/>
        <bgColor rgb="FFF2F4F5"/>
      </patternFill>
    </fill>
    <fill>
      <patternFill patternType="solid">
        <fgColor rgb="FF5F6A73"/>
        <bgColor rgb="FF878787"/>
      </patternFill>
    </fill>
    <fill>
      <patternFill patternType="solid">
        <fgColor rgb="FFFFF7C4"/>
        <bgColor rgb="FFF2F7CC"/>
      </patternFill>
    </fill>
  </fills>
  <borders count="6">
    <border diagonalUp="false" diagonalDown="false">
      <left/>
      <right/>
      <top/>
      <bottom/>
      <diagonal/>
    </border>
    <border diagonalUp="false" diagonalDown="false">
      <left style="thin">
        <color rgb="FFC7CDD1"/>
      </left>
      <right style="thin">
        <color rgb="FFC7CDD1"/>
      </right>
      <top style="thin">
        <color rgb="FFC7CDD1"/>
      </top>
      <bottom style="thin">
        <color rgb="FFC7CDD1"/>
      </bottom>
      <diagonal/>
    </border>
    <border diagonalUp="false" diagonalDown="false">
      <left style="thin">
        <color rgb="FFC7CDD1"/>
      </left>
      <right/>
      <top style="thin">
        <color rgb="FFC7CDD1"/>
      </top>
      <bottom style="thin">
        <color rgb="FFC7CDD1"/>
      </bottom>
      <diagonal/>
    </border>
    <border diagonalUp="false" diagonalDown="false">
      <left/>
      <right/>
      <top style="thin">
        <color rgb="FF1F2429"/>
      </top>
      <bottom/>
      <diagonal/>
    </border>
    <border diagonalUp="false" diagonalDown="false">
      <left/>
      <right/>
      <top style="thin">
        <color rgb="FF1F2429"/>
      </top>
      <bottom style="thin">
        <color rgb="FF1F2429"/>
      </bottom>
      <diagonal/>
    </border>
    <border diagonalUp="false" diagonalDown="false">
      <left/>
      <right/>
      <top style="thin">
        <color rgb="FF1F2429"/>
      </top>
      <bottom style="medium">
        <color rgb="FF1F242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0" shrinkToFit="false"/>
      <protection locked="true" hidden="false"/>
    </xf>
    <xf numFmtId="164" fontId="5" fillId="2" borderId="0" xfId="0" applyFont="true" applyBorder="true" applyAlignment="true" applyProtection="false">
      <alignment horizontal="general" vertical="center" textRotation="0" wrapText="false" indent="0" shrinkToFit="false"/>
      <protection locked="true" hidden="false"/>
    </xf>
    <xf numFmtId="164" fontId="6" fillId="2" borderId="0" xfId="0" applyFont="true" applyBorder="true" applyAlignment="true" applyProtection="false">
      <alignment horizontal="general" vertical="center" textRotation="0" wrapText="false" indent="0" shrinkToFit="false"/>
      <protection locked="true" hidden="false"/>
    </xf>
    <xf numFmtId="164" fontId="7" fillId="2" borderId="0" xfId="0" applyFont="true" applyBorder="tru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5" fontId="9" fillId="0" borderId="0" xfId="0" applyFont="true" applyBorder="false" applyAlignment="true" applyProtection="false">
      <alignment horizontal="general" vertical="center" textRotation="0" wrapText="false" indent="0" shrinkToFit="false"/>
      <protection locked="true" hidden="false"/>
    </xf>
    <xf numFmtId="164" fontId="10" fillId="0" borderId="0" xfId="0" applyFont="true" applyBorder="false" applyAlignment="true" applyProtection="false">
      <alignment horizontal="general" vertical="center" textRotation="0" wrapText="false" indent="0" shrinkToFit="false"/>
      <protection locked="true" hidden="false"/>
    </xf>
    <xf numFmtId="164" fontId="11" fillId="3" borderId="0"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true" applyAlignment="true" applyProtection="false">
      <alignment horizontal="general" vertical="top"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general" vertical="center" textRotation="0" wrapText="false" indent="1" shrinkToFit="false"/>
      <protection locked="true" hidden="false"/>
    </xf>
    <xf numFmtId="164" fontId="15" fillId="0" borderId="2" xfId="0" applyFont="true" applyBorder="true" applyAlignment="true" applyProtection="false">
      <alignment horizontal="general" vertical="center" textRotation="0" wrapText="true" indent="0" shrinkToFit="false"/>
      <protection locked="true" hidden="false"/>
    </xf>
    <xf numFmtId="164" fontId="16" fillId="4" borderId="0" xfId="0" applyFont="true" applyBorder="true" applyAlignment="true" applyProtection="false">
      <alignment horizontal="general" vertical="center" textRotation="0" wrapText="true" indent="0" shrinkToFit="false"/>
      <protection locked="true" hidden="false"/>
    </xf>
    <xf numFmtId="164" fontId="17" fillId="2" borderId="0" xfId="0" applyFont="true" applyBorder="true" applyAlignment="true" applyProtection="false">
      <alignment horizontal="left" vertical="center" textRotation="0" wrapText="false" indent="0" shrinkToFit="false"/>
      <protection locked="true" hidden="false"/>
    </xf>
    <xf numFmtId="164" fontId="18" fillId="0" borderId="0" xfId="0" applyFont="true" applyBorder="true" applyAlignment="true" applyProtection="false">
      <alignment horizontal="general" vertical="center" textRotation="0" wrapText="false" indent="0" shrinkToFit="false"/>
      <protection locked="true" hidden="false"/>
    </xf>
    <xf numFmtId="164" fontId="19" fillId="2" borderId="0" xfId="0" applyFont="true" applyBorder="true" applyAlignment="true" applyProtection="false">
      <alignment horizontal="left" vertical="center" textRotation="0" wrapText="false" indent="0" shrinkToFit="false"/>
      <protection locked="true" hidden="false"/>
    </xf>
    <xf numFmtId="166" fontId="20" fillId="2" borderId="0" xfId="0" applyFont="true" applyBorder="true" applyAlignment="true" applyProtection="false">
      <alignment horizontal="left" vertical="center" textRotation="0" wrapText="false" indent="0" shrinkToFit="false"/>
      <protection locked="true" hidden="false"/>
    </xf>
    <xf numFmtId="164" fontId="21" fillId="2" borderId="0" xfId="0" applyFont="true" applyBorder="true" applyAlignment="true" applyProtection="false">
      <alignment horizontal="left" vertical="top" textRotation="0" wrapText="true" indent="0" shrinkToFit="false"/>
      <protection locked="true" hidden="false"/>
    </xf>
    <xf numFmtId="167" fontId="20" fillId="2" borderId="0" xfId="0" applyFont="true" applyBorder="true" applyAlignment="true" applyProtection="false">
      <alignment horizontal="left" vertical="center" textRotation="0" wrapText="false" indent="0" shrinkToFit="false"/>
      <protection locked="true" hidden="false"/>
    </xf>
    <xf numFmtId="164" fontId="16" fillId="0" borderId="0" xfId="0" applyFont="true" applyBorder="true" applyAlignment="true" applyProtection="false">
      <alignment horizontal="general" vertical="top" textRotation="0" wrapText="true" indent="0" shrinkToFit="false"/>
      <protection locked="true" hidden="false"/>
    </xf>
    <xf numFmtId="164" fontId="22" fillId="0" borderId="2" xfId="0" applyFont="true" applyBorder="true" applyAlignment="true" applyProtection="false">
      <alignment horizontal="general" vertical="center" textRotation="0" wrapText="true" indent="0" shrinkToFit="false"/>
      <protection locked="true" hidden="false"/>
    </xf>
    <xf numFmtId="164" fontId="15" fillId="0" borderId="2" xfId="0" applyFont="true" applyBorder="true" applyAlignment="true" applyProtection="false">
      <alignment horizontal="general" vertical="center" textRotation="0" wrapText="false" indent="0" shrinkToFit="false"/>
      <protection locked="true" hidden="false"/>
    </xf>
    <xf numFmtId="166" fontId="23" fillId="0" borderId="2" xfId="0" applyFont="true" applyBorder="true" applyAlignment="true" applyProtection="false">
      <alignment horizontal="center" vertical="center" textRotation="0" wrapText="false" indent="0" shrinkToFit="false"/>
      <protection locked="true" hidden="false"/>
    </xf>
    <xf numFmtId="164" fontId="15" fillId="0" borderId="2" xfId="0" applyFont="true" applyBorder="true" applyAlignment="true" applyProtection="false">
      <alignment horizontal="center" vertical="center" textRotation="0" wrapText="false" indent="0" shrinkToFit="false"/>
      <protection locked="true" hidden="false"/>
    </xf>
    <xf numFmtId="164" fontId="23" fillId="0" borderId="2" xfId="0" applyFont="true" applyBorder="true" applyAlignment="true" applyProtection="false">
      <alignment horizontal="general" vertical="center" textRotation="0" wrapText="false" indent="0" shrinkToFit="false"/>
      <protection locked="true" hidden="false"/>
    </xf>
    <xf numFmtId="164" fontId="24" fillId="0" borderId="0" xfId="0" applyFont="true" applyBorder="true" applyAlignment="true" applyProtection="false">
      <alignment horizontal="general" vertical="center" textRotation="0" wrapText="false" indent="0" shrinkToFit="false"/>
      <protection locked="true" hidden="false"/>
    </xf>
    <xf numFmtId="164" fontId="26" fillId="2" borderId="0" xfId="0" applyFont="true" applyBorder="true" applyAlignment="true" applyProtection="false">
      <alignment horizontal="left" vertical="center" textRotation="0" wrapText="false" indent="0" shrinkToFit="false"/>
      <protection locked="true" hidden="false"/>
    </xf>
    <xf numFmtId="164" fontId="27" fillId="3" borderId="0" xfId="0" applyFont="true" applyBorder="false" applyAlignment="true" applyProtection="false">
      <alignment horizontal="general" vertical="center" textRotation="0" wrapText="false" indent="0" shrinkToFit="false"/>
      <protection locked="true" hidden="false"/>
    </xf>
    <xf numFmtId="169" fontId="28" fillId="5" borderId="1" xfId="0" applyFont="true" applyBorder="true" applyAlignment="true" applyProtection="false">
      <alignment horizontal="center" vertical="center" textRotation="0" wrapText="false" indent="0" shrinkToFit="false"/>
      <protection locked="true" hidden="false"/>
    </xf>
    <xf numFmtId="164" fontId="14" fillId="5" borderId="1" xfId="0" applyFont="true" applyBorder="true" applyAlignment="true" applyProtection="false">
      <alignment horizontal="center" vertical="center" textRotation="0" wrapText="false" indent="0" shrinkToFit="false"/>
      <protection locked="true" hidden="false"/>
    </xf>
    <xf numFmtId="170" fontId="22" fillId="6" borderId="1" xfId="0" applyFont="true" applyBorder="true" applyAlignment="true" applyProtection="false">
      <alignment horizontal="center" vertical="center" textRotation="0" wrapText="false" indent="0" shrinkToFit="false"/>
      <protection locked="true" hidden="false"/>
    </xf>
    <xf numFmtId="164" fontId="29" fillId="0" borderId="1" xfId="0" applyFont="true" applyBorder="true" applyAlignment="true" applyProtection="false">
      <alignment horizontal="center" vertical="center" textRotation="0" wrapText="false" indent="0" shrinkToFit="false"/>
      <protection locked="true" hidden="false"/>
    </xf>
    <xf numFmtId="164" fontId="14" fillId="0" borderId="0" xfId="0" applyFont="true" applyBorder="false" applyAlignment="true" applyProtection="false">
      <alignment horizontal="general" vertical="center" textRotation="0" wrapText="false" indent="1" shrinkToFit="false"/>
      <protection locked="true" hidden="false"/>
    </xf>
    <xf numFmtId="166" fontId="14" fillId="0" borderId="0" xfId="0" applyFont="true" applyBorder="false" applyAlignment="true" applyProtection="false">
      <alignment horizontal="right" vertical="center" textRotation="0" wrapText="false" indent="0" shrinkToFit="false"/>
      <protection locked="true" hidden="false"/>
    </xf>
    <xf numFmtId="166" fontId="14" fillId="7" borderId="0" xfId="0" applyFont="true" applyBorder="false" applyAlignment="true" applyProtection="false">
      <alignment horizontal="right" vertical="center" textRotation="0" wrapText="false" indent="0" shrinkToFit="false"/>
      <protection locked="true" hidden="false"/>
    </xf>
    <xf numFmtId="164" fontId="16" fillId="0" borderId="0" xfId="0" applyFont="true" applyBorder="false" applyAlignment="true" applyProtection="false">
      <alignment horizontal="general" vertical="center" textRotation="0" wrapText="false" indent="1" shrinkToFit="false"/>
      <protection locked="true" hidden="false"/>
    </xf>
    <xf numFmtId="166" fontId="16" fillId="0" borderId="0" xfId="0" applyFont="true" applyBorder="false" applyAlignment="true" applyProtection="false">
      <alignment horizontal="right" vertical="center" textRotation="0" wrapText="false" indent="0" shrinkToFit="false"/>
      <protection locked="true" hidden="false"/>
    </xf>
    <xf numFmtId="166" fontId="16" fillId="7" borderId="0" xfId="0" applyFont="true" applyBorder="false" applyAlignment="true" applyProtection="false">
      <alignment horizontal="right" vertical="center" textRotation="0" wrapText="false" indent="0" shrinkToFit="false"/>
      <protection locked="true" hidden="false"/>
    </xf>
    <xf numFmtId="164" fontId="14" fillId="6" borderId="0" xfId="0" applyFont="true" applyBorder="false" applyAlignment="true" applyProtection="false">
      <alignment horizontal="general" vertical="center" textRotation="0" wrapText="false" indent="1" shrinkToFit="false"/>
      <protection locked="true" hidden="false"/>
    </xf>
    <xf numFmtId="166" fontId="14" fillId="6" borderId="3" xfId="0" applyFont="true" applyBorder="true" applyAlignment="true" applyProtection="false">
      <alignment horizontal="right" vertical="center" textRotation="0" wrapText="false" indent="0" shrinkToFit="false"/>
      <protection locked="true" hidden="false"/>
    </xf>
    <xf numFmtId="166" fontId="14" fillId="7" borderId="3" xfId="0" applyFont="true" applyBorder="true" applyAlignment="true" applyProtection="false">
      <alignment horizontal="right" vertical="center" textRotation="0" wrapText="false" indent="0" shrinkToFit="false"/>
      <protection locked="true" hidden="false"/>
    </xf>
    <xf numFmtId="166" fontId="14" fillId="4" borderId="4" xfId="0" applyFont="true" applyBorder="true" applyAlignment="true" applyProtection="false">
      <alignment horizontal="right" vertical="center" textRotation="0" wrapText="false" indent="0" shrinkToFit="false"/>
      <protection locked="true" hidden="false"/>
    </xf>
    <xf numFmtId="166" fontId="14" fillId="0" borderId="3" xfId="0" applyFont="true" applyBorder="true" applyAlignment="true" applyProtection="false">
      <alignment horizontal="right" vertical="center" textRotation="0" wrapText="false" indent="0" shrinkToFit="false"/>
      <protection locked="true" hidden="false"/>
    </xf>
    <xf numFmtId="164" fontId="14" fillId="0" borderId="0" xfId="0" applyFont="true" applyBorder="false" applyAlignment="true" applyProtection="false">
      <alignment horizontal="center" vertical="center" textRotation="0" wrapText="false" indent="0" shrinkToFit="false"/>
      <protection locked="true" hidden="false"/>
    </xf>
    <xf numFmtId="164" fontId="29" fillId="0" borderId="0" xfId="0" applyFont="true" applyBorder="true" applyAlignment="true" applyProtection="false">
      <alignment horizontal="general" vertical="center" textRotation="0" wrapText="true" indent="0" shrinkToFit="false"/>
      <protection locked="true" hidden="false"/>
    </xf>
    <xf numFmtId="164" fontId="18" fillId="0" borderId="0" xfId="0" applyFont="true" applyBorder="true" applyAlignment="true" applyProtection="false">
      <alignment horizontal="left" vertical="center" textRotation="0" wrapText="false" indent="0" shrinkToFit="false"/>
      <protection locked="true" hidden="false"/>
    </xf>
    <xf numFmtId="164" fontId="15" fillId="0" borderId="1" xfId="0" applyFont="true" applyBorder="true" applyAlignment="true" applyProtection="false">
      <alignment horizontal="center" vertical="center" textRotation="0" wrapText="false" indent="0" shrinkToFit="false"/>
      <protection locked="true" hidden="false"/>
    </xf>
    <xf numFmtId="164" fontId="16" fillId="0" borderId="1" xfId="0" applyFont="true" applyBorder="true" applyAlignment="true" applyProtection="false">
      <alignment horizontal="general" vertical="center" textRotation="0" wrapText="false" indent="1" shrinkToFit="false"/>
      <protection locked="true" hidden="false"/>
    </xf>
    <xf numFmtId="164" fontId="16" fillId="0" borderId="1" xfId="0" applyFont="true" applyBorder="true" applyAlignment="true" applyProtection="false">
      <alignment horizontal="center" vertical="center" textRotation="0" wrapText="false" indent="0" shrinkToFit="false"/>
      <protection locked="true" hidden="false"/>
    </xf>
    <xf numFmtId="164" fontId="15" fillId="0" borderId="1" xfId="0" applyFont="true" applyBorder="true" applyAlignment="true" applyProtection="false">
      <alignment horizontal="general" vertical="center" textRotation="0" wrapText="false" indent="0" shrinkToFit="false"/>
      <protection locked="true" hidden="false"/>
    </xf>
    <xf numFmtId="171" fontId="31" fillId="0" borderId="1" xfId="0" applyFont="true" applyBorder="true" applyAlignment="true" applyProtection="false">
      <alignment horizontal="center" vertical="center" textRotation="0" wrapText="false" indent="0" shrinkToFit="false"/>
      <protection locked="true" hidden="false"/>
    </xf>
    <xf numFmtId="172" fontId="31" fillId="0" borderId="1" xfId="0" applyFont="true" applyBorder="true" applyAlignment="true" applyProtection="false">
      <alignment horizontal="center" vertical="center" textRotation="0" wrapText="false" indent="0" shrinkToFit="false"/>
      <protection locked="true" hidden="false"/>
    </xf>
    <xf numFmtId="172" fontId="12" fillId="0" borderId="1" xfId="0" applyFont="true" applyBorder="true" applyAlignment="true" applyProtection="false">
      <alignment horizontal="center" vertical="center" textRotation="0" wrapText="false" indent="0" shrinkToFit="false"/>
      <protection locked="true" hidden="false"/>
    </xf>
    <xf numFmtId="166" fontId="28" fillId="0" borderId="1" xfId="0" applyFont="true" applyBorder="true" applyAlignment="true" applyProtection="false">
      <alignment horizontal="center" vertical="center" textRotation="0" wrapText="false" indent="0" shrinkToFit="false"/>
      <protection locked="true" hidden="false"/>
    </xf>
    <xf numFmtId="171" fontId="32" fillId="0" borderId="1" xfId="0" applyFont="true" applyBorder="true" applyAlignment="true" applyProtection="false">
      <alignment horizontal="center" vertical="center" textRotation="0" wrapText="false" indent="0" shrinkToFit="false"/>
      <protection locked="true" hidden="false"/>
    </xf>
    <xf numFmtId="164" fontId="15" fillId="0" borderId="0" xfId="0" applyFont="true" applyBorder="false" applyAlignment="true" applyProtection="false">
      <alignment horizontal="general" vertical="center" textRotation="0" wrapText="true" indent="0" shrinkToFit="false"/>
      <protection locked="true" hidden="false"/>
    </xf>
    <xf numFmtId="164" fontId="14" fillId="0" borderId="3" xfId="0" applyFont="true" applyBorder="true" applyAlignment="true" applyProtection="false">
      <alignment horizontal="general" vertical="center" textRotation="0" wrapText="false" indent="1" shrinkToFit="false"/>
      <protection locked="true" hidden="false"/>
    </xf>
    <xf numFmtId="164" fontId="12" fillId="0" borderId="3" xfId="0" applyFont="true" applyBorder="true" applyAlignment="true" applyProtection="false">
      <alignment horizontal="general" vertical="center" textRotation="0" wrapText="false" indent="0" shrinkToFit="false"/>
      <protection locked="true" hidden="false"/>
    </xf>
    <xf numFmtId="171" fontId="28" fillId="0" borderId="5" xfId="0" applyFont="true" applyBorder="true" applyAlignment="true" applyProtection="false">
      <alignment horizontal="center" vertical="center" textRotation="0" wrapText="false" indent="0" shrinkToFit="false"/>
      <protection locked="true" hidden="false"/>
    </xf>
    <xf numFmtId="172" fontId="28" fillId="0" borderId="5" xfId="0" applyFont="true" applyBorder="true" applyAlignment="true" applyProtection="false">
      <alignment horizontal="center" vertical="center" textRotation="0" wrapText="false" indent="0" shrinkToFit="false"/>
      <protection locked="true" hidden="false"/>
    </xf>
    <xf numFmtId="166" fontId="28" fillId="0" borderId="5" xfId="0" applyFont="true" applyBorder="true" applyAlignment="true" applyProtection="false">
      <alignment horizontal="center" vertical="center" textRotation="0" wrapText="false" indent="0" shrinkToFit="false"/>
      <protection locked="true" hidden="false"/>
    </xf>
    <xf numFmtId="164" fontId="33" fillId="0" borderId="0" xfId="0" applyFont="true" applyBorder="false" applyAlignment="true" applyProtection="false">
      <alignment horizontal="general" vertical="center" textRotation="0" wrapText="true" indent="0" shrinkToFit="false"/>
      <protection locked="true" hidden="false"/>
    </xf>
    <xf numFmtId="164" fontId="12" fillId="0" borderId="1" xfId="0" applyFont="true" applyBorder="true" applyAlignment="true" applyProtection="false">
      <alignment horizontal="general" vertical="center" textRotation="0" wrapText="false" indent="0" shrinkToFit="false"/>
      <protection locked="true" hidden="false"/>
    </xf>
    <xf numFmtId="173" fontId="34" fillId="0" borderId="1" xfId="0" applyFont="true" applyBorder="true" applyAlignment="true" applyProtection="false">
      <alignment horizontal="center" vertical="center" textRotation="0" wrapText="false" indent="0" shrinkToFit="false"/>
      <protection locked="true" hidden="false"/>
    </xf>
    <xf numFmtId="174" fontId="28" fillId="0" borderId="1" xfId="0" applyFont="true" applyBorder="true" applyAlignment="true" applyProtection="false">
      <alignment horizontal="center" vertical="center" textRotation="0" wrapText="false" indent="0" shrinkToFit="false"/>
      <protection locked="true" hidden="false"/>
    </xf>
    <xf numFmtId="173" fontId="12" fillId="0" borderId="1" xfId="0" applyFont="true" applyBorder="true" applyAlignment="true" applyProtection="false">
      <alignment horizontal="center" vertical="center" textRotation="0" wrapText="false" indent="0" shrinkToFit="false"/>
      <protection locked="true" hidden="false"/>
    </xf>
    <xf numFmtId="174" fontId="28" fillId="0" borderId="5" xfId="0" applyFont="true" applyBorder="true" applyAlignment="true" applyProtection="false">
      <alignment horizontal="center" vertical="center" textRotation="0" wrapText="false" indent="0" shrinkToFit="false"/>
      <protection locked="true" hidden="false"/>
    </xf>
    <xf numFmtId="164" fontId="22" fillId="0" borderId="1" xfId="0" applyFont="true" applyBorder="true" applyAlignment="true" applyProtection="false">
      <alignment horizontal="general" vertical="center" textRotation="0" wrapText="false" indent="1" shrinkToFit="false"/>
      <protection locked="true" hidden="false"/>
    </xf>
    <xf numFmtId="164" fontId="22" fillId="0" borderId="1" xfId="0" applyFont="true" applyBorder="true" applyAlignment="true" applyProtection="false">
      <alignment horizontal="center" vertical="center" textRotation="0" wrapText="false" indent="0" shrinkToFit="false"/>
      <protection locked="true" hidden="false"/>
    </xf>
    <xf numFmtId="164" fontId="29" fillId="0" borderId="1" xfId="0" applyFont="true" applyBorder="true" applyAlignment="true" applyProtection="false">
      <alignment horizontal="general" vertical="center" textRotation="0" wrapText="false" indent="0" shrinkToFit="false"/>
      <protection locked="true" hidden="false"/>
    </xf>
    <xf numFmtId="173" fontId="31" fillId="0" borderId="1" xfId="0" applyFont="true" applyBorder="true" applyAlignment="true" applyProtection="false">
      <alignment horizontal="center" vertical="center" textRotation="0" wrapText="false" indent="0" shrinkToFit="false"/>
      <protection locked="true" hidden="false"/>
    </xf>
    <xf numFmtId="174" fontId="12" fillId="0" borderId="1" xfId="0" applyFont="true" applyBorder="true" applyAlignment="true" applyProtection="false">
      <alignment horizontal="center" vertical="center" textRotation="0" wrapText="false" indent="0" shrinkToFit="false"/>
      <protection locked="true" hidden="false"/>
    </xf>
    <xf numFmtId="172" fontId="32" fillId="0" borderId="1" xfId="0" applyFont="true" applyBorder="true" applyAlignment="true" applyProtection="false">
      <alignment horizontal="center" vertical="center" textRotation="0" wrapText="false" indent="0" shrinkToFit="false"/>
      <protection locked="true" hidden="false"/>
    </xf>
    <xf numFmtId="164" fontId="35" fillId="0" borderId="1" xfId="0" applyFont="true" applyBorder="true" applyAlignment="true" applyProtection="false">
      <alignment horizontal="center" vertical="center" textRotation="0" wrapText="false" indent="0" shrinkToFit="false"/>
      <protection locked="true" hidden="false"/>
    </xf>
    <xf numFmtId="173" fontId="28" fillId="0" borderId="1" xfId="0" applyFont="true" applyBorder="true" applyAlignment="true" applyProtection="false">
      <alignment horizontal="center" vertical="center" textRotation="0" wrapText="false" indent="0" shrinkToFit="false"/>
      <protection locked="true" hidden="false"/>
    </xf>
    <xf numFmtId="164" fontId="29" fillId="0" borderId="0" xfId="0" applyFont="true" applyBorder="false" applyAlignment="true" applyProtection="false">
      <alignment horizontal="general" vertical="center" textRotation="0" wrapText="true" indent="0" shrinkToFit="false"/>
      <protection locked="true" hidden="false"/>
    </xf>
    <xf numFmtId="164" fontId="36" fillId="0" borderId="1" xfId="0" applyFont="true" applyBorder="true" applyAlignment="true" applyProtection="false">
      <alignment horizontal="center" vertical="center" textRotation="0" wrapText="false" indent="0" shrinkToFit="false"/>
      <protection locked="true" hidden="false"/>
    </xf>
    <xf numFmtId="174" fontId="31" fillId="0" borderId="1" xfId="0" applyFont="true" applyBorder="true" applyAlignment="true" applyProtection="false">
      <alignment horizontal="center" vertical="center" textRotation="0" wrapText="false" indent="0" shrinkToFit="false"/>
      <protection locked="true" hidden="false"/>
    </xf>
    <xf numFmtId="166" fontId="31" fillId="0" borderId="1" xfId="0" applyFont="true" applyBorder="true" applyAlignment="true" applyProtection="false">
      <alignment horizontal="center" vertical="center" textRotation="0" wrapText="false" indent="0" shrinkToFit="false"/>
      <protection locked="true" hidden="false"/>
    </xf>
    <xf numFmtId="164" fontId="37" fillId="0" borderId="1" xfId="0" applyFont="true" applyBorder="true" applyAlignment="true" applyProtection="false">
      <alignment horizontal="center" vertical="center" textRotation="0" wrapText="false" indent="0" shrinkToFit="false"/>
      <protection locked="true" hidden="false"/>
    </xf>
    <xf numFmtId="174" fontId="34" fillId="0" borderId="1" xfId="0" applyFont="true" applyBorder="true" applyAlignment="true" applyProtection="false">
      <alignment horizontal="center" vertical="center" textRotation="0" wrapText="false" indent="0" shrinkToFit="false"/>
      <protection locked="true" hidden="false"/>
    </xf>
    <xf numFmtId="164" fontId="14" fillId="0" borderId="0" xfId="0" applyFont="true" applyBorder="false" applyAlignment="true" applyProtection="false">
      <alignment horizontal="general" vertical="center" textRotation="0" wrapText="false" indent="0" shrinkToFit="false"/>
      <protection locked="true" hidden="false"/>
    </xf>
    <xf numFmtId="164" fontId="38" fillId="0" borderId="1" xfId="0" applyFont="true" applyBorder="true" applyAlignment="true" applyProtection="false">
      <alignment horizontal="center" vertical="center" textRotation="0" wrapText="false" indent="0" shrinkToFit="false"/>
      <protection locked="true" hidden="false"/>
    </xf>
    <xf numFmtId="164" fontId="39" fillId="4" borderId="1" xfId="0" applyFont="true" applyBorder="true" applyAlignment="true" applyProtection="false">
      <alignment horizontal="center" vertical="center" textRotation="0" wrapText="false" indent="0" shrinkToFit="false"/>
      <protection locked="true" hidden="false"/>
    </xf>
    <xf numFmtId="171" fontId="39" fillId="4" borderId="1" xfId="0" applyFont="true" applyBorder="true" applyAlignment="true" applyProtection="false">
      <alignment horizontal="center" vertical="center" textRotation="0" wrapText="false" indent="0" shrinkToFit="false"/>
      <protection locked="true" hidden="false"/>
    </xf>
    <xf numFmtId="172" fontId="39" fillId="4" borderId="1" xfId="0" applyFont="true" applyBorder="true" applyAlignment="true" applyProtection="false">
      <alignment horizontal="center" vertical="center" textRotation="0" wrapText="false" indent="0" shrinkToFit="false"/>
      <protection locked="true" hidden="false"/>
    </xf>
    <xf numFmtId="164" fontId="18" fillId="0" borderId="1" xfId="0" applyFont="true" applyBorder="true" applyAlignment="true" applyProtection="false">
      <alignment horizontal="center" vertical="center" textRotation="0" wrapText="false" indent="0" shrinkToFit="false"/>
      <protection locked="true" hidden="false"/>
    </xf>
    <xf numFmtId="164" fontId="15" fillId="0" borderId="0" xfId="0" applyFont="true" applyBorder="true" applyAlignment="true" applyProtection="false">
      <alignment horizontal="general" vertical="center" textRotation="0" wrapText="true" indent="0" shrinkToFit="false"/>
      <protection locked="true" hidden="false"/>
    </xf>
    <xf numFmtId="164" fontId="14" fillId="0" borderId="3" xfId="0" applyFont="true" applyBorder="true" applyAlignment="true" applyProtection="false">
      <alignment horizontal="general" vertical="center" textRotation="0" wrapText="false" indent="0" shrinkToFit="false"/>
      <protection locked="true" hidden="false"/>
    </xf>
    <xf numFmtId="164" fontId="33" fillId="0" borderId="3" xfId="0" applyFont="true" applyBorder="true" applyAlignment="true" applyProtection="false">
      <alignment horizontal="general" vertical="center" textRotation="0" wrapText="false" indent="0" shrinkToFit="false"/>
      <protection locked="true" hidden="false"/>
    </xf>
    <xf numFmtId="166" fontId="12" fillId="0" borderId="1" xfId="0" applyFont="true" applyBorder="true" applyAlignment="true" applyProtection="false">
      <alignment horizontal="center" vertical="center" textRotation="0" wrapText="false" indent="0" shrinkToFit="false"/>
      <protection locked="true" hidden="false"/>
    </xf>
    <xf numFmtId="164" fontId="14" fillId="0" borderId="1" xfId="0" applyFont="true" applyBorder="true" applyAlignment="true" applyProtection="false">
      <alignment horizontal="center" vertical="center" textRotation="0" wrapText="false" indent="0" shrinkToFit="false"/>
      <protection locked="true" hidden="false"/>
    </xf>
    <xf numFmtId="164" fontId="40" fillId="0" borderId="1" xfId="0" applyFont="true" applyBorder="true" applyAlignment="true" applyProtection="false">
      <alignment horizontal="center" vertical="center" textRotation="0" wrapText="false" indent="0" shrinkToFit="false"/>
      <protection locked="true" hidden="false"/>
    </xf>
    <xf numFmtId="164" fontId="33" fillId="0" borderId="0" xfId="0" applyFont="true" applyBorder="true" applyAlignment="true" applyProtection="false">
      <alignment horizontal="general" vertical="center" textRotation="0" wrapText="true" indent="0" shrinkToFit="false"/>
      <protection locked="true" hidden="false"/>
    </xf>
    <xf numFmtId="164" fontId="13" fillId="8" borderId="0"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false" applyAlignment="true" applyProtection="false">
      <alignment horizontal="general" vertical="center" textRotation="0" wrapText="false" indent="0" shrinkToFit="false"/>
      <protection locked="true" hidden="false"/>
    </xf>
    <xf numFmtId="164" fontId="13" fillId="3" borderId="0" xfId="0" applyFont="true" applyBorder="false" applyAlignment="true" applyProtection="false">
      <alignment horizontal="left" vertical="center" textRotation="0" wrapText="false" indent="1" shrinkToFit="false"/>
      <protection locked="true" hidden="false"/>
    </xf>
    <xf numFmtId="169" fontId="23" fillId="5" borderId="1" xfId="0" applyFont="true" applyBorder="true" applyAlignment="true" applyProtection="false">
      <alignment horizontal="center" vertical="center" textRotation="0" wrapText="false" indent="0" shrinkToFit="false"/>
      <protection locked="true" hidden="false"/>
    </xf>
    <xf numFmtId="164" fontId="22" fillId="0" borderId="0" xfId="0" applyFont="true" applyBorder="false" applyAlignment="true" applyProtection="false">
      <alignment horizontal="general" vertical="center" textRotation="0" wrapText="false" indent="1" shrinkToFit="false"/>
      <protection locked="true" hidden="false"/>
    </xf>
    <xf numFmtId="166" fontId="22" fillId="0" borderId="0" xfId="0" applyFont="true" applyBorder="false" applyAlignment="true" applyProtection="false">
      <alignment horizontal="center" vertical="center" textRotation="0" wrapText="false" indent="0" shrinkToFit="false"/>
      <protection locked="true" hidden="false"/>
    </xf>
    <xf numFmtId="164" fontId="23" fillId="0" borderId="0" xfId="0" applyFont="true" applyBorder="false" applyAlignment="true" applyProtection="false">
      <alignment horizontal="general" vertical="center" textRotation="0" wrapText="false" indent="1" shrinkToFit="false"/>
      <protection locked="true" hidden="false"/>
    </xf>
    <xf numFmtId="166" fontId="23" fillId="0" borderId="0" xfId="0" applyFont="true" applyBorder="false" applyAlignment="true" applyProtection="false">
      <alignment horizontal="center" vertical="center" textRotation="0" wrapText="false" indent="0" shrinkToFit="false"/>
      <protection locked="true" hidden="false"/>
    </xf>
    <xf numFmtId="164" fontId="12" fillId="0" borderId="0" xfId="0" applyFont="true" applyBorder="false" applyAlignment="true" applyProtection="false">
      <alignment horizontal="general" vertical="center" textRotation="0" wrapText="false" indent="1" shrinkToFit="false"/>
      <protection locked="true" hidden="false"/>
    </xf>
    <xf numFmtId="173" fontId="38" fillId="0" borderId="1" xfId="0" applyFont="true" applyBorder="true" applyAlignment="true" applyProtection="false">
      <alignment horizontal="center" vertical="center" textRotation="0" wrapText="false" indent="0" shrinkToFit="false"/>
      <protection locked="true" hidden="false"/>
    </xf>
    <xf numFmtId="164" fontId="15" fillId="0" borderId="0" xfId="0" applyFont="true" applyBorder="false" applyAlignment="true" applyProtection="false">
      <alignment horizontal="center" vertical="center" textRotation="0" wrapText="false" indent="0" shrinkToFit="false"/>
      <protection locked="true" hidden="false"/>
    </xf>
    <xf numFmtId="173" fontId="38" fillId="9" borderId="1" xfId="0" applyFont="true" applyBorder="true" applyAlignment="true" applyProtection="false">
      <alignment horizontal="center" vertical="center" textRotation="0" wrapText="false" indent="0" shrinkToFit="false"/>
      <protection locked="true" hidden="false"/>
    </xf>
    <xf numFmtId="168" fontId="38" fillId="0" borderId="1" xfId="0" applyFont="true" applyBorder="true" applyAlignment="true" applyProtection="false">
      <alignment horizontal="center" vertical="center" textRotation="0" wrapText="false" indent="0" shrinkToFit="false"/>
      <protection locked="true" hidden="false"/>
    </xf>
    <xf numFmtId="168" fontId="38" fillId="9" borderId="1" xfId="0" applyFont="true" applyBorder="true" applyAlignment="true" applyProtection="false">
      <alignment horizontal="center" vertical="center" textRotation="0" wrapText="false" indent="0" shrinkToFit="false"/>
      <protection locked="true" hidden="false"/>
    </xf>
    <xf numFmtId="164" fontId="39" fillId="0" borderId="1" xfId="0" applyFont="true" applyBorder="true" applyAlignment="true" applyProtection="false">
      <alignment horizontal="center" vertical="center" textRotation="0" wrapText="false" indent="0" shrinkToFit="false"/>
      <protection locked="true" hidden="false"/>
    </xf>
    <xf numFmtId="166" fontId="38" fillId="0" borderId="1" xfId="0" applyFont="true" applyBorder="true" applyAlignment="true" applyProtection="false">
      <alignment horizontal="center" vertical="center" textRotation="0" wrapText="false" indent="0" shrinkToFit="false"/>
      <protection locked="true" hidden="false"/>
    </xf>
    <xf numFmtId="166" fontId="39" fillId="0" borderId="1" xfId="0" applyFont="true" applyBorder="true" applyAlignment="true" applyProtection="false">
      <alignment horizontal="center" vertical="center" textRotation="0" wrapText="false" indent="0" shrinkToFit="false"/>
      <protection locked="true" hidden="false"/>
    </xf>
    <xf numFmtId="174" fontId="39" fillId="0" borderId="1" xfId="0" applyFont="true" applyBorder="true" applyAlignment="true" applyProtection="false">
      <alignment horizontal="center" vertical="center" textRotation="0" wrapText="false" indent="0" shrinkToFit="false"/>
      <protection locked="true" hidden="false"/>
    </xf>
    <xf numFmtId="171" fontId="38" fillId="0" borderId="1" xfId="0" applyFont="true" applyBorder="true" applyAlignment="true" applyProtection="false">
      <alignment horizontal="center" vertical="center" textRotation="0" wrapText="false" indent="0" shrinkToFit="false"/>
      <protection locked="true" hidden="false"/>
    </xf>
    <xf numFmtId="175" fontId="38" fillId="0" borderId="1" xfId="0" applyFont="true" applyBorder="true" applyAlignment="true" applyProtection="false">
      <alignment horizontal="center" vertical="center" textRotation="0" wrapText="false" indent="0" shrinkToFit="false"/>
      <protection locked="true" hidden="false"/>
    </xf>
    <xf numFmtId="174" fontId="38" fillId="0" borderId="1" xfId="0" applyFont="true" applyBorder="true" applyAlignment="true" applyProtection="false">
      <alignment horizontal="center" vertical="center" textRotation="0" wrapText="false" indent="0" shrinkToFit="false"/>
      <protection locked="true" hidden="false"/>
    </xf>
    <xf numFmtId="164" fontId="41" fillId="0" borderId="0" xfId="0" applyFont="true" applyBorder="false" applyAlignment="true" applyProtection="false">
      <alignment horizontal="center" vertical="center" textRotation="0" wrapText="false" indent="0" shrinkToFit="false"/>
      <protection locked="true" hidden="false"/>
    </xf>
    <xf numFmtId="164" fontId="9" fillId="4" borderId="1" xfId="0" applyFont="true" applyBorder="true" applyAlignment="true" applyProtection="false">
      <alignment horizontal="center" vertical="center" textRotation="0" wrapText="false" indent="0" shrinkToFit="false"/>
      <protection locked="true" hidden="false"/>
    </xf>
    <xf numFmtId="164" fontId="15" fillId="0" borderId="0" xfId="0" applyFont="true" applyBorder="true" applyAlignment="true" applyProtection="false">
      <alignment horizontal="general" vertical="center" textRotation="0" wrapText="false" indent="0" shrinkToFit="false"/>
      <protection locked="true" hidden="false"/>
    </xf>
    <xf numFmtId="174" fontId="22" fillId="0" borderId="1" xfId="0" applyFont="true" applyBorder="true" applyAlignment="true" applyProtection="false">
      <alignment horizontal="center" vertical="center" textRotation="0" wrapText="false" indent="0" shrinkToFit="false"/>
      <protection locked="true" hidden="false"/>
    </xf>
    <xf numFmtId="164" fontId="23" fillId="0" borderId="1" xfId="0" applyFont="true" applyBorder="true" applyAlignment="true" applyProtection="false">
      <alignment horizontal="center" vertical="center" textRotation="0" wrapText="false" indent="0" shrinkToFit="false"/>
      <protection locked="true" hidden="false"/>
    </xf>
    <xf numFmtId="164" fontId="29" fillId="0" borderId="1"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ont>
        <name val="Arial"/>
        <charset val="1"/>
        <family val="0"/>
        <b val="1"/>
        <color rgb="FFA8271B"/>
        <sz val="9"/>
      </font>
      <fill>
        <patternFill>
          <bgColor rgb="FFF9E4E1"/>
        </patternFill>
      </fill>
    </dxf>
    <dxf>
      <font>
        <name val="Arial"/>
        <charset val="1"/>
        <family val="0"/>
        <b val="1"/>
        <color rgb="FFA8271B"/>
        <sz val="9"/>
      </font>
    </dxf>
    <dxf>
      <font>
        <name val="Arial"/>
        <charset val="1"/>
        <family val="0"/>
        <color rgb="FF8A9C00"/>
        <sz val="8"/>
      </font>
    </dxf>
    <dxf>
      <font>
        <name val="Arial"/>
        <charset val="1"/>
        <family val="0"/>
        <b val="1"/>
        <color rgb="FF8A9C00"/>
        <sz val="9"/>
      </font>
    </dxf>
    <dxf>
      <font>
        <name val="Arial"/>
        <charset val="1"/>
        <family val="0"/>
        <b val="1"/>
        <color rgb="FF8A9C00"/>
        <sz val="8"/>
      </font>
    </dxf>
    <dxf>
      <font>
        <name val="Arial"/>
        <charset val="1"/>
        <family val="0"/>
        <b val="1"/>
        <color rgb="FFA8271B"/>
        <sz val="8"/>
      </font>
      <fill>
        <patternFill>
          <bgColor rgb="FFF9E4E1"/>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A9C00"/>
      <rgbColor rgb="FF800080"/>
      <rgbColor rgb="FF008080"/>
      <rgbColor rgb="FFC7CDD1"/>
      <rgbColor rgb="FF878787"/>
      <rgbColor rgb="FF9999FF"/>
      <rgbColor rgb="FF993366"/>
      <rgbColor rgb="FFFFF7C4"/>
      <rgbColor rgb="FFE6EAEC"/>
      <rgbColor rgb="FF660066"/>
      <rgbColor rgb="FFFF8080"/>
      <rgbColor rgb="FF0066CC"/>
      <rgbColor rgb="FFC9CFD4"/>
      <rgbColor rgb="FF000080"/>
      <rgbColor rgb="FFFF00FF"/>
      <rgbColor rgb="FFFFFF00"/>
      <rgbColor rgb="FF00FFFF"/>
      <rgbColor rgb="FF800080"/>
      <rgbColor rgb="FF800000"/>
      <rgbColor rgb="FF008080"/>
      <rgbColor rgb="FF0000FF"/>
      <rgbColor rgb="FF00CCFF"/>
      <rgbColor rgb="FFF2F4F5"/>
      <rgbColor rgb="FFD9D9D9"/>
      <rgbColor rgb="FFF2F7CC"/>
      <rgbColor rgb="FF99CCFF"/>
      <rgbColor rgb="FFFF99CC"/>
      <rgbColor rgb="FFCC99FF"/>
      <rgbColor rgb="FFF9E4E1"/>
      <rgbColor rgb="FF3366FF"/>
      <rgbColor rgb="FF33CCCC"/>
      <rgbColor rgb="FFC3D600"/>
      <rgbColor rgb="FFFFCC00"/>
      <rgbColor rgb="FFFF9900"/>
      <rgbColor rgb="FFFF6600"/>
      <rgbColor rgb="FF5F6A73"/>
      <rgbColor rgb="FF969696"/>
      <rgbColor rgb="FF003366"/>
      <rgbColor rgb="FF339966"/>
      <rgbColor rgb="FF003300"/>
      <rgbColor rgb="FF1F2429"/>
      <rgbColor rgb="FFA8271B"/>
      <rgbColor rgb="FF993366"/>
      <rgbColor rgb="FF333399"/>
      <rgbColor rgb="FF343C44"/>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ineChart>
        <c:grouping val="standard"/>
        <c:varyColors val="0"/>
        <c:ser>
          <c:idx val="0"/>
          <c:order val="0"/>
          <c:tx>
            <c:strRef>
              <c:f>'Weekly Cash Flow'!A41</c:f>
              <c:strCache>
                <c:ptCount val="1"/>
                <c:pt idx="0">
                  <c:v>Closing cash</c:v>
                </c:pt>
              </c:strCache>
            </c:strRef>
          </c:tx>
          <c:spPr>
            <a:solidFill>
              <a:srgbClr val="5f6a73"/>
            </a:solidFill>
            <a:ln w="25920">
              <a:solidFill>
                <a:srgbClr val="5f6a73"/>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'Weekly Cash Flow'!$B$4:$N$4</c:f>
              <c:strCache>
                <c:ptCount val="13"/>
                <c:pt idx="0">
                  <c:v>W1</c:v>
                </c:pt>
                <c:pt idx="1">
                  <c:v>W2</c:v>
                </c:pt>
                <c:pt idx="2">
                  <c:v>W3</c:v>
                </c:pt>
                <c:pt idx="3">
                  <c:v>W4</c:v>
                </c:pt>
                <c:pt idx="4">
                  <c:v>W5</c:v>
                </c:pt>
                <c:pt idx="5">
                  <c:v>W6</c:v>
                </c:pt>
                <c:pt idx="6">
                  <c:v>W7</c:v>
                </c:pt>
                <c:pt idx="7">
                  <c:v>W8</c:v>
                </c:pt>
                <c:pt idx="8">
                  <c:v>W9</c:v>
                </c:pt>
                <c:pt idx="9">
                  <c:v>W10</c:v>
                </c:pt>
                <c:pt idx="10">
                  <c:v>W11</c:v>
                </c:pt>
                <c:pt idx="11">
                  <c:v>W12</c:v>
                </c:pt>
                <c:pt idx="12">
                  <c:v>W13</c:v>
                </c:pt>
              </c:strCache>
            </c:strRef>
          </c:cat>
          <c:val>
            <c:numRef>
              <c:f>'Weekly Cash Flow'!$B$41:$N$41</c:f>
              <c:numCache>
                <c:formatCode>#,##0;\(#,##0\);\-</c:formatCode>
                <c:ptCount val="13"/>
                <c:pt idx="0">
                  <c:v>250</c:v>
                </c:pt>
                <c:pt idx="1">
                  <c:v>250</c:v>
                </c:pt>
                <c:pt idx="2">
                  <c:v>250</c:v>
                </c:pt>
                <c:pt idx="3">
                  <c:v>250</c:v>
                </c:pt>
                <c:pt idx="4">
                  <c:v>250</c:v>
                </c:pt>
                <c:pt idx="5">
                  <c:v>250</c:v>
                </c:pt>
                <c:pt idx="6">
                  <c:v>250</c:v>
                </c:pt>
                <c:pt idx="7">
                  <c:v>250</c:v>
                </c:pt>
                <c:pt idx="8">
                  <c:v>250</c:v>
                </c:pt>
                <c:pt idx="9">
                  <c:v>250</c:v>
                </c:pt>
                <c:pt idx="10">
                  <c:v>250</c:v>
                </c:pt>
                <c:pt idx="11">
                  <c:v>250</c:v>
                </c:pt>
                <c:pt idx="12">
                  <c:v>250</c:v>
                </c:pt>
              </c:numCache>
            </c:numRef>
          </c:val>
          <c:smooth val="0"/>
        </c:ser>
        <c:ser>
          <c:idx val="1"/>
          <c:order val="1"/>
          <c:tx>
            <c:strRef>
              <c:f>'Weekly Cash Flow'!A47</c:f>
              <c:strCache>
                <c:ptCount val="1"/>
                <c:pt idx="0">
                  <c:v>Total liquidity (cash + undrawn RCF)</c:v>
                </c:pt>
              </c:strCache>
            </c:strRef>
          </c:tx>
          <c:spPr>
            <a:solidFill>
              <a:srgbClr val="8a9c00"/>
            </a:solidFill>
            <a:ln w="25920">
              <a:solidFill>
                <a:srgbClr val="8a9c00"/>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'Weekly Cash Flow'!$B$4:$N$4</c:f>
              <c:strCache>
                <c:ptCount val="13"/>
                <c:pt idx="0">
                  <c:v>W1</c:v>
                </c:pt>
                <c:pt idx="1">
                  <c:v>W2</c:v>
                </c:pt>
                <c:pt idx="2">
                  <c:v>W3</c:v>
                </c:pt>
                <c:pt idx="3">
                  <c:v>W4</c:v>
                </c:pt>
                <c:pt idx="4">
                  <c:v>W5</c:v>
                </c:pt>
                <c:pt idx="5">
                  <c:v>W6</c:v>
                </c:pt>
                <c:pt idx="6">
                  <c:v>W7</c:v>
                </c:pt>
                <c:pt idx="7">
                  <c:v>W8</c:v>
                </c:pt>
                <c:pt idx="8">
                  <c:v>W9</c:v>
                </c:pt>
                <c:pt idx="9">
                  <c:v>W10</c:v>
                </c:pt>
                <c:pt idx="10">
                  <c:v>W11</c:v>
                </c:pt>
                <c:pt idx="11">
                  <c:v>W12</c:v>
                </c:pt>
                <c:pt idx="12">
                  <c:v>W13</c:v>
                </c:pt>
              </c:strCache>
            </c:strRef>
          </c:cat>
          <c:val>
            <c:numRef>
              <c:f>'Weekly Cash Flow'!$B$47:$N$47</c:f>
              <c:numCache>
                <c:formatCode>#,##0;\(#,##0\);\-</c:formatCode>
                <c:ptCount val="13"/>
                <c:pt idx="0">
                  <c:v>1344.37083333333</c:v>
                </c:pt>
                <c:pt idx="1">
                  <c:v>1664.27083333333</c:v>
                </c:pt>
                <c:pt idx="2">
                  <c:v>1319.27083333333</c:v>
                </c:pt>
                <c:pt idx="3">
                  <c:v>1453.57083333333</c:v>
                </c:pt>
                <c:pt idx="4">
                  <c:v>1563.97083333333</c:v>
                </c:pt>
                <c:pt idx="5">
                  <c:v>1758.39785659722</c:v>
                </c:pt>
                <c:pt idx="6">
                  <c:v>1708.09785659722</c:v>
                </c:pt>
                <c:pt idx="7">
                  <c:v>1603.69785659722</c:v>
                </c:pt>
                <c:pt idx="8">
                  <c:v>1758.29785659722</c:v>
                </c:pt>
                <c:pt idx="9">
                  <c:v>1654.48032105882</c:v>
                </c:pt>
                <c:pt idx="10">
                  <c:v>1194.98032105882</c:v>
                </c:pt>
                <c:pt idx="11">
                  <c:v>1607.28032105883</c:v>
                </c:pt>
                <c:pt idx="12">
                  <c:v>1733.88032105882</c:v>
                </c:pt>
              </c:numCache>
            </c:numRef>
          </c:val>
          <c:smooth val="0"/>
        </c:ser>
        <c:ser>
          <c:idx val="2"/>
          <c:order val="2"/>
          <c:tx>
            <c:strRef>
              <c:f>'Weekly Cash Flow'!A48</c:f>
              <c:strCache>
                <c:ptCount val="1"/>
                <c:pt idx="0">
                  <c:v>Minimum liquidity covenant</c:v>
                </c:pt>
              </c:strCache>
            </c:strRef>
          </c:tx>
          <c:spPr>
            <a:solidFill>
              <a:srgbClr val="a8271b"/>
            </a:solidFill>
            <a:ln w="25920">
              <a:solidFill>
                <a:srgbClr val="a8271b"/>
              </a:solidFill>
              <a:prstDash val="dash"/>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'Weekly Cash Flow'!$B$4:$N$4</c:f>
              <c:strCache>
                <c:ptCount val="13"/>
                <c:pt idx="0">
                  <c:v>W1</c:v>
                </c:pt>
                <c:pt idx="1">
                  <c:v>W2</c:v>
                </c:pt>
                <c:pt idx="2">
                  <c:v>W3</c:v>
                </c:pt>
                <c:pt idx="3">
                  <c:v>W4</c:v>
                </c:pt>
                <c:pt idx="4">
                  <c:v>W5</c:v>
                </c:pt>
                <c:pt idx="5">
                  <c:v>W6</c:v>
                </c:pt>
                <c:pt idx="6">
                  <c:v>W7</c:v>
                </c:pt>
                <c:pt idx="7">
                  <c:v>W8</c:v>
                </c:pt>
                <c:pt idx="8">
                  <c:v>W9</c:v>
                </c:pt>
                <c:pt idx="9">
                  <c:v>W10</c:v>
                </c:pt>
                <c:pt idx="10">
                  <c:v>W11</c:v>
                </c:pt>
                <c:pt idx="11">
                  <c:v>W12</c:v>
                </c:pt>
                <c:pt idx="12">
                  <c:v>W13</c:v>
                </c:pt>
              </c:strCache>
            </c:strRef>
          </c:cat>
          <c:val>
            <c:numRef>
              <c:f>'Weekly Cash Flow'!$B$48:$N$48</c:f>
              <c:numCache>
                <c:formatCode>#,##0;\(#,##0\);\-</c:formatCode>
                <c:ptCount val="13"/>
                <c:pt idx="0">
                  <c:v>1000</c:v>
                </c:pt>
                <c:pt idx="1">
                  <c:v>1000</c:v>
                </c:pt>
                <c:pt idx="2">
                  <c:v>1000</c:v>
                </c:pt>
                <c:pt idx="3">
                  <c:v>1000</c:v>
                </c:pt>
                <c:pt idx="4">
                  <c:v>1000</c:v>
                </c:pt>
                <c:pt idx="5">
                  <c:v>1000</c:v>
                </c:pt>
                <c:pt idx="6">
                  <c:v>1000</c:v>
                </c:pt>
                <c:pt idx="7">
                  <c:v>1000</c:v>
                </c:pt>
                <c:pt idx="8">
                  <c:v>1000</c:v>
                </c:pt>
                <c:pt idx="9">
                  <c:v>1000</c:v>
                </c:pt>
                <c:pt idx="10">
                  <c:v>1000</c:v>
                </c:pt>
                <c:pt idx="11">
                  <c:v>1000</c:v>
                </c:pt>
                <c:pt idx="12">
                  <c:v>1000</c:v>
                </c:pt>
              </c:numCache>
            </c:numRef>
          </c:val>
          <c:smooth val="0"/>
        </c:ser>
        <c:hiLowLines>
          <c:spPr>
            <a:ln w="0">
              <a:noFill/>
            </a:ln>
          </c:spPr>
        </c:hiLowLines>
        <c:marker val="0"/>
        <c:axId val="55154437"/>
        <c:axId val="11921173"/>
      </c:lineChart>
      <c:catAx>
        <c:axId val="55154437"/>
        <c:scaling>
          <c:orientation val="minMax"/>
        </c:scaling>
        <c:delete val="0"/>
        <c:axPos val="b"/>
        <c:numFmt formatCode="\W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1921173"/>
        <c:crosses val="autoZero"/>
        <c:auto val="1"/>
        <c:lblAlgn val="ctr"/>
        <c:lblOffset val="100"/>
        <c:noMultiLvlLbl val="0"/>
      </c:catAx>
      <c:valAx>
        <c:axId val="11921173"/>
        <c:scaling>
          <c:orientation val="minMax"/>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5154437"/>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col"/>
        <c:grouping val="clustered"/>
        <c:varyColors val="0"/>
        <c:ser>
          <c:idx val="0"/>
          <c:order val="0"/>
          <c:tx>
            <c:strRef>
              <c:f>'Weekly Cash Flow'!A36</c:f>
              <c:strCache>
                <c:ptCount val="1"/>
                <c:pt idx="0">
                  <c:v>Net cash flow before financing</c:v>
                </c:pt>
              </c:strCache>
            </c:strRef>
          </c:tx>
          <c:spPr>
            <a:solidFill>
              <a:srgbClr val="8a9c00"/>
            </a:solidFill>
            <a:ln w="0">
              <a:solidFill>
                <a:srgbClr val="8a9c00"/>
              </a:solid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'Weekly Cash Flow'!$B$4:$N$4</c:f>
              <c:strCache>
                <c:ptCount val="13"/>
                <c:pt idx="0">
                  <c:v>W1</c:v>
                </c:pt>
                <c:pt idx="1">
                  <c:v>W2</c:v>
                </c:pt>
                <c:pt idx="2">
                  <c:v>W3</c:v>
                </c:pt>
                <c:pt idx="3">
                  <c:v>W4</c:v>
                </c:pt>
                <c:pt idx="4">
                  <c:v>W5</c:v>
                </c:pt>
                <c:pt idx="5">
                  <c:v>W6</c:v>
                </c:pt>
                <c:pt idx="6">
                  <c:v>W7</c:v>
                </c:pt>
                <c:pt idx="7">
                  <c:v>W8</c:v>
                </c:pt>
                <c:pt idx="8">
                  <c:v>W9</c:v>
                </c:pt>
                <c:pt idx="9">
                  <c:v>W10</c:v>
                </c:pt>
                <c:pt idx="10">
                  <c:v>W11</c:v>
                </c:pt>
                <c:pt idx="11">
                  <c:v>W12</c:v>
                </c:pt>
                <c:pt idx="12">
                  <c:v>W13</c:v>
                </c:pt>
              </c:strCache>
            </c:strRef>
          </c:cat>
          <c:val>
            <c:numRef>
              <c:f>'Weekly Cash Flow'!$B$36:$N$36</c:f>
              <c:numCache>
                <c:formatCode>#,##0;\(#,##0\);\-</c:formatCode>
                <c:ptCount val="13"/>
                <c:pt idx="0">
                  <c:v>174.370833333333</c:v>
                </c:pt>
                <c:pt idx="1">
                  <c:v>319.9</c:v>
                </c:pt>
                <c:pt idx="2">
                  <c:v>-345</c:v>
                </c:pt>
                <c:pt idx="3">
                  <c:v>134.3</c:v>
                </c:pt>
                <c:pt idx="4">
                  <c:v>110.4</c:v>
                </c:pt>
                <c:pt idx="5">
                  <c:v>194.427023263889</c:v>
                </c:pt>
                <c:pt idx="6">
                  <c:v>-50.3000000000002</c:v>
                </c:pt>
                <c:pt idx="7">
                  <c:v>-104.4</c:v>
                </c:pt>
                <c:pt idx="8">
                  <c:v>154.6</c:v>
                </c:pt>
                <c:pt idx="9">
                  <c:v>-103.817535538397</c:v>
                </c:pt>
                <c:pt idx="10">
                  <c:v>-459.5</c:v>
                </c:pt>
                <c:pt idx="11">
                  <c:v>412.3</c:v>
                </c:pt>
                <c:pt idx="12">
                  <c:v>126.6</c:v>
                </c:pt>
              </c:numCache>
            </c:numRef>
          </c:val>
        </c:ser>
        <c:gapWidth val="40"/>
        <c:overlap val="0"/>
        <c:axId val="33233650"/>
        <c:axId val="81216133"/>
      </c:barChart>
      <c:catAx>
        <c:axId val="33233650"/>
        <c:scaling>
          <c:orientation val="minMax"/>
        </c:scaling>
        <c:delete val="0"/>
        <c:axPos val="b"/>
        <c:numFmt formatCode="\W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1216133"/>
        <c:crosses val="autoZero"/>
        <c:auto val="1"/>
        <c:lblAlgn val="ctr"/>
        <c:lblOffset val="100"/>
        <c:noMultiLvlLbl val="0"/>
      </c:catAx>
      <c:valAx>
        <c:axId val="81216133"/>
        <c:scaling>
          <c:orientation val="minMax"/>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3233650"/>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15</xdr:row>
      <xdr:rowOff>0</xdr:rowOff>
    </xdr:from>
    <xdr:to>
      <xdr:col>11</xdr:col>
      <xdr:colOff>220320</xdr:colOff>
      <xdr:row>29</xdr:row>
      <xdr:rowOff>68400</xdr:rowOff>
    </xdr:to>
    <xdr:graphicFrame>
      <xdr:nvGraphicFramePr>
        <xdr:cNvPr id="0" name="Chart 1"/>
        <xdr:cNvGraphicFramePr/>
      </xdr:nvGraphicFramePr>
      <xdr:xfrm>
        <a:off x="141120" y="3143160"/>
        <a:ext cx="5579640" cy="2735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32</xdr:row>
      <xdr:rowOff>0</xdr:rowOff>
    </xdr:from>
    <xdr:to>
      <xdr:col>11</xdr:col>
      <xdr:colOff>220320</xdr:colOff>
      <xdr:row>43</xdr:row>
      <xdr:rowOff>136080</xdr:rowOff>
    </xdr:to>
    <xdr:graphicFrame>
      <xdr:nvGraphicFramePr>
        <xdr:cNvPr id="1" name="Chart 2"/>
        <xdr:cNvGraphicFramePr/>
      </xdr:nvGraphicFramePr>
      <xdr:xfrm>
        <a:off x="141120" y="6400800"/>
        <a:ext cx="5579640" cy="2231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1.v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5" min="2" style="0" width="30"/>
    <col collapsed="false" customWidth="true" hidden="false" outlineLevel="0" max="6" min="6" style="0" width="3"/>
  </cols>
  <sheetData>
    <row r="1" customFormat="false" ht="15" hidden="false" customHeight="false" outlineLevel="0" collapsed="false">
      <c r="A1" s="1"/>
      <c r="B1" s="1"/>
      <c r="C1" s="1"/>
      <c r="D1" s="1"/>
      <c r="E1" s="1"/>
      <c r="F1" s="1"/>
    </row>
    <row r="2" customFormat="false" ht="15" hidden="false" customHeight="false" outlineLevel="0" collapsed="false">
      <c r="A2" s="1"/>
      <c r="B2" s="1"/>
      <c r="C2" s="1"/>
      <c r="D2" s="1"/>
      <c r="E2" s="1"/>
      <c r="F2" s="1"/>
    </row>
    <row r="3" customFormat="false" ht="21.75" hidden="false" customHeight="true" outlineLevel="0" collapsed="false">
      <c r="A3" s="1"/>
      <c r="B3" s="2" t="s">
        <v>0</v>
      </c>
      <c r="C3" s="2"/>
      <c r="D3" s="2"/>
      <c r="E3" s="2"/>
      <c r="F3" s="1"/>
    </row>
    <row r="4" customFormat="false" ht="30" hidden="false" customHeight="true" outlineLevel="0" collapsed="false">
      <c r="A4" s="1"/>
      <c r="B4" s="3" t="s">
        <v>1</v>
      </c>
      <c r="C4" s="3"/>
      <c r="D4" s="3"/>
      <c r="E4" s="3"/>
      <c r="F4" s="1"/>
    </row>
    <row r="5" customFormat="false" ht="13.5" hidden="false" customHeight="true" outlineLevel="0" collapsed="false">
      <c r="A5" s="1"/>
      <c r="B5" s="3"/>
      <c r="C5" s="3"/>
      <c r="D5" s="3"/>
      <c r="E5" s="3"/>
      <c r="F5" s="1"/>
    </row>
    <row r="6" customFormat="false" ht="18" hidden="false" customHeight="true" outlineLevel="0" collapsed="false">
      <c r="A6" s="1"/>
      <c r="B6" s="4" t="s">
        <v>2</v>
      </c>
      <c r="C6" s="4"/>
      <c r="D6" s="4"/>
      <c r="E6" s="4"/>
      <c r="F6" s="1"/>
    </row>
    <row r="7" customFormat="false" ht="15.75" hidden="false" customHeight="true" outlineLevel="0" collapsed="false">
      <c r="A7" s="1"/>
      <c r="B7" s="5" t="s">
        <v>3</v>
      </c>
      <c r="C7" s="5"/>
      <c r="D7" s="5"/>
      <c r="E7" s="5"/>
      <c r="F7" s="1"/>
    </row>
    <row r="8" customFormat="false" ht="9.75" hidden="false" customHeight="true" outlineLevel="0" collapsed="false">
      <c r="A8" s="1"/>
      <c r="B8" s="1"/>
      <c r="C8" s="1"/>
      <c r="D8" s="1"/>
      <c r="E8" s="1"/>
      <c r="F8" s="1"/>
    </row>
    <row r="10" customFormat="false" ht="15" hidden="false" customHeight="false" outlineLevel="0" collapsed="false">
      <c r="B10" s="6" t="s">
        <v>4</v>
      </c>
      <c r="C10" s="7" t="s">
        <v>5</v>
      </c>
      <c r="D10" s="6" t="s">
        <v>6</v>
      </c>
      <c r="E10" s="8" t="n">
        <v>46227</v>
      </c>
    </row>
    <row r="11" customFormat="false" ht="15" hidden="false" customHeight="false" outlineLevel="0" collapsed="false">
      <c r="B11" s="6" t="s">
        <v>7</v>
      </c>
      <c r="C11" s="9" t="s">
        <v>8</v>
      </c>
      <c r="D11" s="6" t="s">
        <v>9</v>
      </c>
      <c r="E11" s="9" t="s">
        <v>10</v>
      </c>
    </row>
    <row r="13" customFormat="false" ht="16.5" hidden="false" customHeight="true" outlineLevel="0" collapsed="false">
      <c r="B13" s="10" t="s">
        <v>11</v>
      </c>
      <c r="C13" s="10"/>
      <c r="D13" s="10"/>
      <c r="E13" s="10"/>
    </row>
    <row r="14" customFormat="false" ht="61.5" hidden="false" customHeight="true" outlineLevel="0" collapsed="false">
      <c r="B14" s="11" t="s">
        <v>12</v>
      </c>
      <c r="C14" s="11"/>
      <c r="D14" s="11"/>
      <c r="E14" s="11"/>
    </row>
    <row r="16" customFormat="false" ht="16.5" hidden="false" customHeight="true" outlineLevel="0" collapsed="false">
      <c r="B16" s="10" t="s">
        <v>13</v>
      </c>
      <c r="C16" s="10"/>
      <c r="D16" s="10"/>
      <c r="E16" s="10"/>
    </row>
    <row r="17" customFormat="false" ht="15.75" hidden="false" customHeight="true" outlineLevel="0" collapsed="false">
      <c r="B17" s="12" t="s">
        <v>14</v>
      </c>
      <c r="C17" s="12" t="s">
        <v>15</v>
      </c>
      <c r="D17" s="12"/>
      <c r="E17" s="12"/>
    </row>
    <row r="18" customFormat="false" ht="24" hidden="false" customHeight="true" outlineLevel="0" collapsed="false">
      <c r="B18" s="13" t="s">
        <v>16</v>
      </c>
      <c r="C18" s="14" t="s">
        <v>17</v>
      </c>
      <c r="D18" s="14"/>
      <c r="E18" s="14"/>
    </row>
    <row r="19" customFormat="false" ht="24" hidden="false" customHeight="true" outlineLevel="0" collapsed="false">
      <c r="B19" s="13" t="s">
        <v>18</v>
      </c>
      <c r="C19" s="14" t="s">
        <v>19</v>
      </c>
      <c r="D19" s="14"/>
      <c r="E19" s="14"/>
    </row>
    <row r="20" customFormat="false" ht="24" hidden="false" customHeight="true" outlineLevel="0" collapsed="false">
      <c r="B20" s="13" t="s">
        <v>20</v>
      </c>
      <c r="C20" s="14" t="s">
        <v>21</v>
      </c>
      <c r="D20" s="14"/>
      <c r="E20" s="14"/>
    </row>
    <row r="21" customFormat="false" ht="24" hidden="false" customHeight="true" outlineLevel="0" collapsed="false">
      <c r="B21" s="13" t="s">
        <v>22</v>
      </c>
      <c r="C21" s="14" t="s">
        <v>23</v>
      </c>
      <c r="D21" s="14"/>
      <c r="E21" s="14"/>
    </row>
    <row r="22" customFormat="false" ht="24" hidden="false" customHeight="true" outlineLevel="0" collapsed="false">
      <c r="B22" s="13" t="s">
        <v>24</v>
      </c>
      <c r="C22" s="14" t="s">
        <v>25</v>
      </c>
      <c r="D22" s="14"/>
      <c r="E22" s="14"/>
    </row>
    <row r="23" customFormat="false" ht="24" hidden="false" customHeight="true" outlineLevel="0" collapsed="false">
      <c r="B23" s="13" t="s">
        <v>26</v>
      </c>
      <c r="C23" s="14" t="s">
        <v>27</v>
      </c>
      <c r="D23" s="14"/>
      <c r="E23" s="14"/>
    </row>
    <row r="24" customFormat="false" ht="24" hidden="false" customHeight="true" outlineLevel="0" collapsed="false">
      <c r="B24" s="13" t="s">
        <v>28</v>
      </c>
      <c r="C24" s="14" t="s">
        <v>29</v>
      </c>
      <c r="D24" s="14"/>
      <c r="E24" s="14"/>
    </row>
    <row r="26" customFormat="false" ht="16.5" hidden="false" customHeight="true" outlineLevel="0" collapsed="false">
      <c r="B26" s="10" t="s">
        <v>30</v>
      </c>
      <c r="C26" s="10"/>
      <c r="D26" s="10"/>
      <c r="E26" s="10"/>
    </row>
    <row r="27" customFormat="false" ht="21.75" hidden="false" customHeight="true" outlineLevel="0" collapsed="false">
      <c r="B27" s="13" t="s">
        <v>31</v>
      </c>
      <c r="C27" s="14" t="s">
        <v>32</v>
      </c>
      <c r="D27" s="14"/>
      <c r="E27" s="14"/>
    </row>
    <row r="28" customFormat="false" ht="21.75" hidden="false" customHeight="true" outlineLevel="0" collapsed="false">
      <c r="B28" s="13" t="s">
        <v>33</v>
      </c>
      <c r="C28" s="14" t="s">
        <v>34</v>
      </c>
      <c r="D28" s="14"/>
      <c r="E28" s="14"/>
    </row>
    <row r="29" customFormat="false" ht="21.75" hidden="false" customHeight="true" outlineLevel="0" collapsed="false">
      <c r="B29" s="13" t="s">
        <v>35</v>
      </c>
      <c r="C29" s="14" t="s">
        <v>36</v>
      </c>
      <c r="D29" s="14"/>
      <c r="E29" s="14"/>
    </row>
    <row r="30" customFormat="false" ht="21.75" hidden="false" customHeight="true" outlineLevel="0" collapsed="false">
      <c r="B30" s="13" t="s">
        <v>37</v>
      </c>
      <c r="C30" s="14" t="s">
        <v>38</v>
      </c>
      <c r="D30" s="14"/>
      <c r="E30" s="14"/>
    </row>
    <row r="31" customFormat="false" ht="21.75" hidden="false" customHeight="true" outlineLevel="0" collapsed="false">
      <c r="B31" s="13" t="s">
        <v>39</v>
      </c>
      <c r="C31" s="14" t="s">
        <v>40</v>
      </c>
      <c r="D31" s="14"/>
      <c r="E31" s="14"/>
    </row>
    <row r="33" customFormat="false" ht="16.5" hidden="false" customHeight="true" outlineLevel="0" collapsed="false">
      <c r="B33" s="10" t="s">
        <v>41</v>
      </c>
      <c r="C33" s="10"/>
      <c r="D33" s="10"/>
      <c r="E33" s="10"/>
    </row>
    <row r="34" customFormat="false" ht="19.5" hidden="false" customHeight="true" outlineLevel="0" collapsed="false">
      <c r="B34" s="13" t="s">
        <v>42</v>
      </c>
      <c r="C34" s="14" t="s">
        <v>43</v>
      </c>
      <c r="D34" s="14"/>
      <c r="E34" s="14"/>
    </row>
    <row r="35" customFormat="false" ht="19.5" hidden="false" customHeight="true" outlineLevel="0" collapsed="false">
      <c r="B35" s="13" t="s">
        <v>44</v>
      </c>
      <c r="C35" s="14" t="s">
        <v>45</v>
      </c>
      <c r="D35" s="14"/>
      <c r="E35" s="14"/>
    </row>
    <row r="36" customFormat="false" ht="19.5" hidden="false" customHeight="true" outlineLevel="0" collapsed="false">
      <c r="B36" s="13" t="s">
        <v>46</v>
      </c>
      <c r="C36" s="14" t="s">
        <v>47</v>
      </c>
      <c r="D36" s="14"/>
      <c r="E36" s="14"/>
    </row>
    <row r="37" customFormat="false" ht="19.5" hidden="false" customHeight="true" outlineLevel="0" collapsed="false">
      <c r="B37" s="13" t="s">
        <v>48</v>
      </c>
      <c r="C37" s="14" t="s">
        <v>49</v>
      </c>
      <c r="D37" s="14"/>
      <c r="E37" s="14"/>
    </row>
    <row r="38" customFormat="false" ht="19.5" hidden="false" customHeight="true" outlineLevel="0" collapsed="false">
      <c r="B38" s="13" t="s">
        <v>50</v>
      </c>
      <c r="C38" s="14" t="s">
        <v>51</v>
      </c>
      <c r="D38" s="14"/>
      <c r="E38" s="14"/>
    </row>
    <row r="39" customFormat="false" ht="19.5" hidden="false" customHeight="true" outlineLevel="0" collapsed="false">
      <c r="B39" s="13" t="s">
        <v>52</v>
      </c>
      <c r="C39" s="14" t="s">
        <v>53</v>
      </c>
      <c r="D39" s="14"/>
      <c r="E39" s="14"/>
    </row>
    <row r="41" customFormat="false" ht="43.5" hidden="false" customHeight="true" outlineLevel="0" collapsed="false">
      <c r="B41" s="15" t="s">
        <v>54</v>
      </c>
      <c r="C41" s="15"/>
      <c r="D41" s="15"/>
      <c r="E41" s="15"/>
    </row>
  </sheetData>
  <mergeCells count="28">
    <mergeCell ref="B3:E3"/>
    <mergeCell ref="B4:E5"/>
    <mergeCell ref="B6:E6"/>
    <mergeCell ref="B7:E7"/>
    <mergeCell ref="B13:E13"/>
    <mergeCell ref="B14:E14"/>
    <mergeCell ref="B16:E16"/>
    <mergeCell ref="C18:E18"/>
    <mergeCell ref="C19:E19"/>
    <mergeCell ref="C20:E20"/>
    <mergeCell ref="C21:E21"/>
    <mergeCell ref="C22:E22"/>
    <mergeCell ref="C23:E23"/>
    <mergeCell ref="C24:E24"/>
    <mergeCell ref="B26:E26"/>
    <mergeCell ref="C27:E27"/>
    <mergeCell ref="C28:E28"/>
    <mergeCell ref="C29:E29"/>
    <mergeCell ref="C30:E30"/>
    <mergeCell ref="C31:E31"/>
    <mergeCell ref="B33:E33"/>
    <mergeCell ref="C34:E34"/>
    <mergeCell ref="C35:E35"/>
    <mergeCell ref="C36:E36"/>
    <mergeCell ref="C37:E37"/>
    <mergeCell ref="C38:E38"/>
    <mergeCell ref="C39:E39"/>
    <mergeCell ref="B41:E41"/>
  </mergeCells>
  <printOptions headings="false" gridLines="false" gridLinesSet="true" horizontalCentered="false" verticalCentered="false"/>
  <pageMargins left="0.3" right="0.3" top="0.4" bottom="0.4" header="0.5" footer="0.5"/>
  <pageSetup paperSize="9" scale="100" fitToWidth="1" fitToHeight="1" pageOrder="downThenOver" orientation="portrait" blackAndWhite="false" draft="false" cellComments="none" horizontalDpi="300" verticalDpi="300" copies="1"/>
  <headerFooter differentFirst="false" differentOddEven="false">
    <oddHeader>&amp;L&amp;"Arial,Bold"&amp;9Halcyon Metalworks Kft.&amp;R&amp;"Arial,Regular"&amp;913-WEEK ROLLING CASH FLOW FORECAST</oddHeader>
    <oddFooter>&amp;L&amp;"Arial,Regular"&amp;8Illustrative sample - fictional data - prepared by Tarlan Charkasov, ACCA&amp;R&amp;"Arial,Regular"&amp;8Page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P6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16" min="2" style="0" width="7.61"/>
  </cols>
  <sheetData>
    <row r="1" customFormat="false" ht="27.75" hidden="false" customHeight="true" outlineLevel="0" collapsed="false">
      <c r="A1" s="16" t="s">
        <v>55</v>
      </c>
      <c r="B1" s="16"/>
      <c r="C1" s="16"/>
      <c r="D1" s="16"/>
      <c r="E1" s="16"/>
      <c r="F1" s="16"/>
      <c r="G1" s="16"/>
      <c r="H1" s="16"/>
      <c r="I1" s="16"/>
      <c r="J1" s="16"/>
      <c r="K1" s="16"/>
      <c r="L1" s="16"/>
      <c r="M1" s="16"/>
      <c r="N1" s="16"/>
      <c r="O1" s="16"/>
      <c r="P1" s="16"/>
    </row>
    <row r="2" customFormat="false" ht="15.75" hidden="false" customHeight="true" outlineLevel="0" collapsed="false">
      <c r="A2" s="17" t="str">
        <f aca="false">"Executive summary  |  EUR '000  |  weeks commencing "&amp;TEXT(Assumptions!$B$6,"dd-mmm-yy")&amp;" to "&amp;TEXT('Weekly Cash Flow'!$N$6,"dd-mmm-yy")&amp;"  |  scenario: "&amp;Assumptions!$B$9&amp;"  |  mitigation package: "&amp;IF(Assumptions!$B$10=1,"applied","not applied")</f>
        <v>Executive summary  |  EUR '000  |  weeks commencing 27-Jul-26 to 25-Oct-26  |  scenario: Base  |  mitigation package: not applied</v>
      </c>
      <c r="B2" s="17"/>
      <c r="C2" s="17"/>
      <c r="D2" s="17"/>
      <c r="E2" s="17"/>
      <c r="F2" s="17"/>
      <c r="G2" s="17"/>
      <c r="H2" s="17"/>
      <c r="I2" s="17"/>
      <c r="J2" s="17"/>
      <c r="K2" s="17"/>
      <c r="L2" s="17"/>
      <c r="M2" s="17"/>
      <c r="N2" s="17"/>
      <c r="O2" s="17"/>
      <c r="P2" s="17"/>
    </row>
    <row r="3" customFormat="false" ht="6" hidden="false" customHeight="true" outlineLevel="0" collapsed="false"/>
    <row r="5" customFormat="false" ht="15.75" hidden="false" customHeight="true" outlineLevel="0" collapsed="false">
      <c r="B5" s="18" t="s">
        <v>56</v>
      </c>
      <c r="C5" s="18"/>
      <c r="D5" s="18"/>
      <c r="E5" s="18"/>
      <c r="F5" s="18"/>
      <c r="G5" s="18" t="s">
        <v>57</v>
      </c>
      <c r="H5" s="18"/>
      <c r="I5" s="18"/>
      <c r="J5" s="18"/>
      <c r="K5" s="18"/>
      <c r="L5" s="18" t="s">
        <v>58</v>
      </c>
      <c r="M5" s="18"/>
      <c r="N5" s="18"/>
      <c r="O5" s="18"/>
      <c r="P5" s="18"/>
    </row>
    <row r="6" customFormat="false" ht="19.5" hidden="false" customHeight="true" outlineLevel="0" collapsed="false">
      <c r="B6" s="19" t="n">
        <f aca="false">'Weekly Cash Flow'!$N$47</f>
        <v>1733.88032105882</v>
      </c>
      <c r="C6" s="19"/>
      <c r="D6" s="19"/>
      <c r="E6" s="19"/>
      <c r="F6" s="19"/>
      <c r="G6" s="19" t="n">
        <f aca="false">MIN('Weekly Cash Flow'!$B$47:$N$47)</f>
        <v>1194.98032105882</v>
      </c>
      <c r="H6" s="19"/>
      <c r="I6" s="19"/>
      <c r="J6" s="19"/>
      <c r="K6" s="19"/>
      <c r="L6" s="19" t="n">
        <f aca="false">MIN('Weekly Cash Flow'!$B$49:$N$49)</f>
        <v>194.980321058825</v>
      </c>
      <c r="M6" s="19"/>
      <c r="N6" s="19"/>
      <c r="O6" s="19"/>
      <c r="P6" s="19"/>
    </row>
    <row r="7" customFormat="false" ht="15.75" hidden="false" customHeight="true" outlineLevel="0" collapsed="false">
      <c r="B7" s="19"/>
      <c r="C7" s="19"/>
      <c r="D7" s="19"/>
      <c r="E7" s="19"/>
      <c r="F7" s="19"/>
      <c r="G7" s="19"/>
      <c r="H7" s="19"/>
      <c r="I7" s="19"/>
      <c r="J7" s="19"/>
      <c r="K7" s="19"/>
      <c r="L7" s="19"/>
      <c r="M7" s="19"/>
      <c r="N7" s="19"/>
      <c r="O7" s="19"/>
      <c r="P7" s="19"/>
    </row>
    <row r="8" customFormat="false" ht="21.75" hidden="false" customHeight="true" outlineLevel="0" collapsed="false">
      <c r="B8" s="20" t="str">
        <f aca="false">"Opening position "&amp;TEXT('Weekly Cash Flow'!$B$9+Assumptions!$B$14-Assumptions!$B$15,"#,##0")&amp;"k"</f>
        <v>Opening position 1,170k</v>
      </c>
      <c r="C8" s="20"/>
      <c r="D8" s="20"/>
      <c r="E8" s="20"/>
      <c r="F8" s="20"/>
      <c r="G8" s="20" t="str">
        <f aca="false">"Week "&amp;MATCH(MIN('Weekly Cash Flow'!$B$47:$N$47),'Weekly Cash Flow'!$B$47:$N$47,0)&amp;", w/c "&amp;TEXT(INDEX('Weekly Cash Flow'!$B$5:$N$5,MATCH(MIN('Weekly Cash Flow'!$B$47:$N$47),'Weekly Cash Flow'!$B$47:$N$47,0)),"dd-mmm")</f>
        <v>Week 11, w/c 05-Oct</v>
      </c>
      <c r="H8" s="20"/>
      <c r="I8" s="20"/>
      <c r="J8" s="20"/>
      <c r="K8" s="20"/>
      <c r="L8" s="20" t="str">
        <f aca="false">"Covenant floor "&amp;TEXT(Assumptions!$B$18,"#,##0")&amp;"k, tested weekly"</f>
        <v>Covenant floor 1,000k, tested weekly</v>
      </c>
      <c r="M8" s="20"/>
      <c r="N8" s="20"/>
      <c r="O8" s="20"/>
      <c r="P8" s="20"/>
    </row>
    <row r="9" customFormat="false" ht="6" hidden="false" customHeight="true" outlineLevel="0" collapsed="false"/>
    <row r="10" customFormat="false" ht="15.75" hidden="false" customHeight="true" outlineLevel="0" collapsed="false">
      <c r="B10" s="18" t="s">
        <v>59</v>
      </c>
      <c r="C10" s="18"/>
      <c r="D10" s="18"/>
      <c r="E10" s="18"/>
      <c r="F10" s="18"/>
      <c r="G10" s="18" t="s">
        <v>60</v>
      </c>
      <c r="H10" s="18"/>
      <c r="I10" s="18"/>
      <c r="J10" s="18"/>
      <c r="K10" s="18"/>
      <c r="L10" s="18" t="s">
        <v>61</v>
      </c>
      <c r="M10" s="18"/>
      <c r="N10" s="18"/>
      <c r="O10" s="18"/>
      <c r="P10" s="18"/>
    </row>
    <row r="11" customFormat="false" ht="19.5" hidden="false" customHeight="true" outlineLevel="0" collapsed="false">
      <c r="B11" s="19" t="n">
        <f aca="false">MAX('Weekly Cash Flow'!$B$45:$N$45)</f>
        <v>3055.01967894118</v>
      </c>
      <c r="C11" s="19"/>
      <c r="D11" s="19"/>
      <c r="E11" s="19"/>
      <c r="F11" s="19"/>
      <c r="G11" s="19" t="n">
        <f aca="false">'Weekly Cash Flow'!$O$36</f>
        <v>563.880321058825</v>
      </c>
      <c r="H11" s="19"/>
      <c r="I11" s="19"/>
      <c r="J11" s="19"/>
      <c r="K11" s="19"/>
      <c r="L11" s="21" t="n">
        <f aca="false">MIN('Weekly Cash Flow'!$B$49:$N$49)/((Scenarios!$C$21-Scenarios!$C$22)/3)</f>
        <v>3.3310988791371</v>
      </c>
      <c r="M11" s="21"/>
      <c r="N11" s="21"/>
      <c r="O11" s="21"/>
      <c r="P11" s="21"/>
    </row>
    <row r="12" customFormat="false" ht="15.75" hidden="false" customHeight="true" outlineLevel="0" collapsed="false">
      <c r="B12" s="19"/>
      <c r="C12" s="19"/>
      <c r="D12" s="19"/>
      <c r="E12" s="19"/>
      <c r="F12" s="19"/>
      <c r="G12" s="19"/>
      <c r="H12" s="19"/>
      <c r="I12" s="19"/>
      <c r="J12" s="19"/>
      <c r="K12" s="19"/>
      <c r="L12" s="21"/>
      <c r="M12" s="21"/>
      <c r="N12" s="21"/>
      <c r="O12" s="21"/>
      <c r="P12" s="21"/>
    </row>
    <row r="13" customFormat="false" ht="21.75" hidden="false" customHeight="true" outlineLevel="0" collapsed="false">
      <c r="B13" s="20" t="str">
        <f aca="false">"On a limit of "&amp;TEXT(Assumptions!$B$14,"#,##0")&amp;"k - "&amp;TEXT(MAX('Weekly Cash Flow'!$B$45:$N$45)/Assumptions!$B$14,"0%")&amp;" utilised in the window"</f>
        <v>On a limit of 4,000k - 76% utilised in the window</v>
      </c>
      <c r="C13" s="20"/>
      <c r="D13" s="20"/>
      <c r="E13" s="20"/>
      <c r="F13" s="20"/>
      <c r="G13" s="20" t="str">
        <f aca="false">"Receipts "&amp;TEXT('Weekly Cash Flow'!$O$18,"#,##0")&amp;"k less payments "&amp;TEXT(-'Weekly Cash Flow'!$O$34,"#,##0")&amp;"k"</f>
        <v>Receipts 9,221k less payments 8,657k</v>
      </c>
      <c r="H13" s="20"/>
      <c r="I13" s="20"/>
      <c r="J13" s="20"/>
      <c r="K13" s="20"/>
      <c r="L13" s="20" t="str">
        <f aca="false">"At the trough each day of slippage costs "&amp;TEXT((Scenarios!$C$21-Scenarios!$C$22)/3,"#,##0")&amp;"k - measured on the sensitivity engine, not on an average"</f>
        <v>At the trough each day of slippage costs 59k - measured on the sensitivity engine, not on an average</v>
      </c>
      <c r="M13" s="20"/>
      <c r="N13" s="20"/>
      <c r="O13" s="20"/>
      <c r="P13" s="20"/>
    </row>
    <row r="15" customFormat="false" ht="16.5" hidden="false" customHeight="true" outlineLevel="0" collapsed="false">
      <c r="A15" s="10" t="s">
        <v>62</v>
      </c>
      <c r="B15" s="10"/>
      <c r="C15" s="10"/>
      <c r="D15" s="10"/>
      <c r="E15" s="10"/>
      <c r="F15" s="10"/>
      <c r="G15" s="10"/>
      <c r="H15" s="10"/>
      <c r="I15" s="10"/>
      <c r="J15" s="10"/>
      <c r="K15" s="10"/>
      <c r="L15" s="10"/>
      <c r="M15" s="10"/>
      <c r="N15" s="10"/>
      <c r="O15" s="10"/>
      <c r="P15" s="10"/>
    </row>
    <row r="32" customFormat="false" ht="16.5" hidden="false" customHeight="true" outlineLevel="0" collapsed="false">
      <c r="A32" s="10" t="s">
        <v>63</v>
      </c>
      <c r="B32" s="10"/>
      <c r="C32" s="10"/>
      <c r="D32" s="10"/>
      <c r="E32" s="10"/>
      <c r="F32" s="10"/>
      <c r="G32" s="10"/>
      <c r="H32" s="10"/>
      <c r="I32" s="10"/>
      <c r="J32" s="10"/>
      <c r="K32" s="10"/>
      <c r="L32" s="10"/>
      <c r="M32" s="10"/>
      <c r="N32" s="10"/>
      <c r="O32" s="10"/>
      <c r="P32" s="10"/>
    </row>
    <row r="47" customFormat="false" ht="16.5" hidden="false" customHeight="true" outlineLevel="0" collapsed="false">
      <c r="A47" s="10" t="s">
        <v>64</v>
      </c>
      <c r="B47" s="10"/>
      <c r="C47" s="10"/>
      <c r="D47" s="10"/>
      <c r="E47" s="10"/>
      <c r="F47" s="10"/>
      <c r="G47" s="10"/>
      <c r="H47" s="10"/>
      <c r="I47" s="10"/>
      <c r="J47" s="10"/>
      <c r="K47" s="10"/>
      <c r="L47" s="10"/>
      <c r="M47" s="10"/>
      <c r="N47" s="10"/>
      <c r="O47" s="10"/>
      <c r="P47" s="10"/>
    </row>
    <row r="48" customFormat="false" ht="31.5" hidden="false" customHeight="true" outlineLevel="0" collapsed="false">
      <c r="B48" s="22" t="str">
        <f aca="false">"1.  The window is cash generative overall - net "&amp;TEXT('Weekly Cash Flow'!$O$36,"#,##0")&amp;"k over 13 weeks - but the profile is the point. Liquidity bottoms at "&amp;TEXT(MIN('Weekly Cash Flow'!$B$47:$N$47),"#,##0")&amp;"k in week "&amp;MATCH(MIN('Weekly Cash Flow'!$B$47:$N$47),'Weekly Cash Flow'!$B$47:$N$47,0)&amp;" (w/c "&amp;TEXT(INDEX('Weekly Cash Flow'!$B$5:$N$5,MATCH(MIN('Weekly Cash Flow'!$B$47:$N$47),'Weekly Cash Flow'!$B$47:$N$47,0)),"dd-mmm")&amp;"), leaving "&amp;TEXT(MIN('Weekly Cash Flow'!$B$49:$N$49),"#,##0")&amp;"k over the covenant floor."</f>
        <v>1.  The window is cash generative overall - net 564k over 13 weeks - but the profile is the point. Liquidity bottoms at 1,195k in week 11 (w/c 05-Oct), leaving 195k over the covenant floor.</v>
      </c>
      <c r="C48" s="22"/>
      <c r="D48" s="22"/>
      <c r="E48" s="22"/>
      <c r="F48" s="22"/>
      <c r="G48" s="22"/>
      <c r="H48" s="22"/>
      <c r="I48" s="22"/>
      <c r="J48" s="22"/>
      <c r="K48" s="22"/>
      <c r="L48" s="22"/>
      <c r="M48" s="22"/>
      <c r="N48" s="22"/>
      <c r="O48" s="22"/>
      <c r="P48" s="22"/>
    </row>
    <row r="49" customFormat="false" ht="60" hidden="false" customHeight="true" outlineLevel="0" collapsed="false">
      <c r="B49" s="22" t="str">
        <f aca="false">"2.  The August shutdown is not a September problem, it is an October one. Output falls to 20% in weeks 3 and 4 - some "&amp;TEXT(Assumptions!$B$25*2-'Receipts Build'!$G$19-'Receipts Build'!$G$20,"#,##0")&amp;"k of revenue never invoiced - and on a weighted collection cycle of "&amp;TEXT('Receipts Build'!$I$13,"#,##0")&amp;" days that gap reaches the bank account in weeks 10 to 13. The offset is that the same shutdown cuts material payments in weeks 10 and 11 to "&amp;TEXT(-SUM('Weekly Cash Flow'!$K$21:$L$21),"#,##0")&amp;"k against a normal "&amp;TEXT(-'Weekly Cash Flow'!$B$21,"#,##0")&amp;"k a week. Without that "&amp;TEXT(-2*'Weekly Cash Flow'!$B$21+SUM('Weekly Cash Flow'!$K$21:$L$21),"#,##0")&amp;"k of relief the covenant would already be through the floor."</f>
        <v>2.  The August shutdown is not a September problem, it is an October one. Output falls to 20% in weeks 3 and 4 - some 1,071k of revenue never invoiced - and on a weighted collection cycle of 73 days that gap reaches the bank account in weeks 10 to 13. The offset is that the same shutdown cuts material payments in weeks 10 and 11 to 223k against a normal 309k a week. Without that 395k of relief the covenant would already be through the floor.</v>
      </c>
      <c r="C49" s="22"/>
      <c r="D49" s="22"/>
      <c r="E49" s="22"/>
      <c r="F49" s="22"/>
      <c r="G49" s="22"/>
      <c r="H49" s="22"/>
      <c r="I49" s="22"/>
      <c r="J49" s="22"/>
      <c r="K49" s="22"/>
      <c r="L49" s="22"/>
      <c r="M49" s="22"/>
      <c r="N49" s="22"/>
      <c r="O49" s="22"/>
      <c r="P49" s="22"/>
    </row>
    <row r="50" customFormat="false" ht="60" hidden="false" customHeight="true" outlineLevel="0" collapsed="false">
      <c r="B50" s="22" t="str">
        <f aca="false">"3.  Weeks 11 to 13 carry "&amp;TEXT(-SUM('Weekly Cash Flow'!$L$34:$N$34),"#,##0")&amp;"k of payments in three waves: capex milestone 2 and the insurance renewal in week 11 ("&amp;TEXT(-SUM('Weekly Cash Flow'!$L$21:$L$33),"#,##0")&amp;"k), the October payroll cycle in week 12 ("&amp;TEXT(-'Weekly Cash Flow'!$M$26-'Weekly Cash Flow'!$M$27,"#,##0")&amp;"k) and the Q3 tax advances in week 13 ("&amp;TEXT(-'Weekly Cash Flow'!$N$28,"#,##0")&amp;"k). Week 11 is the one with no matching receipt, and week 12 only looks comfortable because the withheld invoices are released into it."</f>
        <v>3.  Weeks 11 to 13 carry 2,641k of payments in three waves: capex milestone 2 and the insurance renewal in week 11 (1,103k), the October payroll cycle in week 12 (533k) and the Q3 tax advances in week 13 (183k). Week 11 is the one with no matching receipt, and week 12 only looks comfortable because the withheld invoices are released into it.</v>
      </c>
      <c r="C50" s="22"/>
      <c r="D50" s="22"/>
      <c r="E50" s="22"/>
      <c r="F50" s="22"/>
      <c r="G50" s="22"/>
      <c r="H50" s="22"/>
      <c r="I50" s="22"/>
      <c r="J50" s="22"/>
      <c r="K50" s="22"/>
      <c r="L50" s="22"/>
      <c r="M50" s="22"/>
      <c r="N50" s="22"/>
      <c r="O50" s="22"/>
      <c r="P50" s="22"/>
    </row>
    <row r="51" customFormat="false" ht="48" hidden="false" customHeight="true" outlineLevel="0" collapsed="false">
      <c r="B51" s="22" t="str">
        <f aca="false">"4.  Headroom is thinner than it reads. The sensitivity engine puts the cost of collection slippage at "&amp;TEXT((Scenarios!$C$21-Scenarios!$C$22)/3,"#,##0")&amp;"k a day at the trough, so the covenant absorbs about "&amp;TEXT(MIN('Weekly Cash Flow'!$B$49:$N$49)/((Scenarios!$C$21-Scenarios!$C$22)/3),"#,##0.0")&amp;" days of it. Five days puts the company through the floor, and in the fifteen-day case the binding week moves forward to "&amp;Scenarios!$D$25&amp;" - there is no real slack anywhere in the quarter."</f>
        <v>4.  Headroom is thinner than it reads. The sensitivity engine puts the cost of collection slippage at 59k a day at the trough, so the covenant absorbs about 3.3 days of it. Five days puts the company through the floor, and in the fifteen-day case the binding week moves forward to W3 - there is no real slack anywhere in the quarter.</v>
      </c>
      <c r="C51" s="22"/>
      <c r="D51" s="22"/>
      <c r="E51" s="22"/>
      <c r="F51" s="22"/>
      <c r="G51" s="22"/>
      <c r="H51" s="22"/>
      <c r="I51" s="22"/>
      <c r="J51" s="22"/>
      <c r="K51" s="22"/>
      <c r="L51" s="22"/>
      <c r="M51" s="22"/>
      <c r="N51" s="22"/>
      <c r="O51" s="22"/>
      <c r="P51" s="22"/>
    </row>
    <row r="52" customFormat="false" ht="60" hidden="false" customHeight="true" outlineLevel="0" collapsed="false">
      <c r="B52" s="22" t="str">
        <f aca="false">"5.  The mitigation package is worth "&amp;TEXT(Scenarios!$C$16,"#,##0")&amp;"k of timing and costs one factoring fee. In the downside run recorded on 24-Jul-26 it is the difference between a breach of "&amp;TEXT(-Scenarios!$F$32,"#,##0")&amp;"k and headroom of "&amp;TEXT(Scenarios!$F$33,"#,##0")&amp;"k, so in that world it is not optional. Two of the three actions have to be started by mid-September to land in the trough: the decision point is now, not in October."</f>
        <v>5.  The mitigation package is worth 2,040k of timing and costs one factoring fee. In the downside run recorded on 24-Jul-26 it is the difference between a breach of 861k and headroom of 66k, so in that world it is not optional. Two of the three actions have to be started by mid-September to land in the trough: the decision point is now, not in October.</v>
      </c>
      <c r="C52" s="22"/>
      <c r="D52" s="22"/>
      <c r="E52" s="22"/>
      <c r="F52" s="22"/>
      <c r="G52" s="22"/>
      <c r="H52" s="22"/>
      <c r="I52" s="22"/>
      <c r="J52" s="22"/>
      <c r="K52" s="22"/>
      <c r="L52" s="22"/>
      <c r="M52" s="22"/>
      <c r="N52" s="22"/>
      <c r="O52" s="22"/>
      <c r="P52" s="22"/>
    </row>
    <row r="54" customFormat="false" ht="16.5" hidden="false" customHeight="true" outlineLevel="0" collapsed="false">
      <c r="A54" s="10" t="s">
        <v>65</v>
      </c>
      <c r="B54" s="10"/>
      <c r="C54" s="10"/>
      <c r="D54" s="10"/>
      <c r="E54" s="10"/>
      <c r="F54" s="10"/>
      <c r="G54" s="10"/>
      <c r="H54" s="10"/>
      <c r="I54" s="10"/>
      <c r="J54" s="10"/>
      <c r="K54" s="10"/>
      <c r="L54" s="10"/>
      <c r="M54" s="10"/>
      <c r="N54" s="10"/>
      <c r="O54" s="10"/>
      <c r="P54" s="10"/>
    </row>
    <row r="55" customFormat="false" ht="15.75" hidden="false" customHeight="true" outlineLevel="0" collapsed="false">
      <c r="B55" s="12" t="s">
        <v>66</v>
      </c>
      <c r="C55" s="12"/>
      <c r="D55" s="12"/>
      <c r="E55" s="12"/>
      <c r="F55" s="12"/>
      <c r="G55" s="12"/>
      <c r="H55" s="12" t="s">
        <v>67</v>
      </c>
      <c r="I55" s="12"/>
      <c r="J55" s="12"/>
      <c r="K55" s="12" t="s">
        <v>68</v>
      </c>
      <c r="L55" s="12"/>
      <c r="M55" s="12" t="s">
        <v>69</v>
      </c>
      <c r="N55" s="12"/>
      <c r="O55" s="12" t="s">
        <v>70</v>
      </c>
      <c r="P55" s="12"/>
    </row>
    <row r="56" customFormat="false" ht="25.5" hidden="false" customHeight="true" outlineLevel="0" collapsed="false">
      <c r="B56" s="23" t="s">
        <v>71</v>
      </c>
      <c r="C56" s="23"/>
      <c r="D56" s="23"/>
      <c r="E56" s="23"/>
      <c r="F56" s="23"/>
      <c r="G56" s="23"/>
      <c r="H56" s="24" t="s">
        <v>72</v>
      </c>
      <c r="I56" s="24"/>
      <c r="J56" s="24"/>
      <c r="K56" s="25" t="n">
        <f aca="false">Scenarios!$C$13</f>
        <v>775</v>
      </c>
      <c r="L56" s="25"/>
      <c r="M56" s="26" t="s">
        <v>73</v>
      </c>
      <c r="N56" s="26"/>
      <c r="O56" s="26" t="s">
        <v>74</v>
      </c>
      <c r="P56" s="26"/>
    </row>
    <row r="57" customFormat="false" ht="25.5" hidden="false" customHeight="true" outlineLevel="0" collapsed="false">
      <c r="B57" s="23" t="s">
        <v>75</v>
      </c>
      <c r="C57" s="23"/>
      <c r="D57" s="23"/>
      <c r="E57" s="23"/>
      <c r="F57" s="23"/>
      <c r="G57" s="23"/>
      <c r="H57" s="24" t="s">
        <v>76</v>
      </c>
      <c r="I57" s="24"/>
      <c r="J57" s="24"/>
      <c r="K57" s="25" t="n">
        <f aca="false">Scenarios!$C$14</f>
        <v>592.8988</v>
      </c>
      <c r="L57" s="25"/>
      <c r="M57" s="26" t="s">
        <v>77</v>
      </c>
      <c r="N57" s="26"/>
      <c r="O57" s="26" t="s">
        <v>78</v>
      </c>
      <c r="P57" s="26"/>
    </row>
    <row r="58" customFormat="false" ht="25.5" hidden="false" customHeight="true" outlineLevel="0" collapsed="false">
      <c r="B58" s="23" t="s">
        <v>79</v>
      </c>
      <c r="C58" s="23"/>
      <c r="D58" s="23"/>
      <c r="E58" s="23"/>
      <c r="F58" s="23"/>
      <c r="G58" s="23"/>
      <c r="H58" s="24" t="s">
        <v>80</v>
      </c>
      <c r="I58" s="24"/>
      <c r="J58" s="24"/>
      <c r="K58" s="25" t="n">
        <f aca="false">Scenarios!$C$15</f>
        <v>672.214285714286</v>
      </c>
      <c r="L58" s="25"/>
      <c r="M58" s="26" t="s">
        <v>81</v>
      </c>
      <c r="N58" s="26"/>
      <c r="O58" s="26" t="s">
        <v>82</v>
      </c>
      <c r="P58" s="26"/>
    </row>
    <row r="59" customFormat="false" ht="25.5" hidden="false" customHeight="true" outlineLevel="0" collapsed="false">
      <c r="B59" s="23" t="s">
        <v>83</v>
      </c>
      <c r="C59" s="23"/>
      <c r="D59" s="23"/>
      <c r="E59" s="23"/>
      <c r="F59" s="23"/>
      <c r="G59" s="23"/>
      <c r="H59" s="24" t="s">
        <v>84</v>
      </c>
      <c r="I59" s="24"/>
      <c r="J59" s="24"/>
      <c r="K59" s="25" t="n">
        <f aca="false">SUMIFS('Receipts Build'!$G$34:$G$98,'Receipts Build'!$K$34:$K$98,"On hold - 8D claim")</f>
        <v>689.4</v>
      </c>
      <c r="L59" s="25"/>
      <c r="M59" s="26" t="s">
        <v>85</v>
      </c>
      <c r="N59" s="26"/>
      <c r="O59" s="26" t="s">
        <v>86</v>
      </c>
      <c r="P59" s="26"/>
    </row>
    <row r="60" customFormat="false" ht="25.5" hidden="false" customHeight="true" outlineLevel="0" collapsed="false">
      <c r="B60" s="23" t="s">
        <v>87</v>
      </c>
      <c r="C60" s="23"/>
      <c r="D60" s="23"/>
      <c r="E60" s="23"/>
      <c r="F60" s="23"/>
      <c r="G60" s="23"/>
      <c r="H60" s="24" t="s">
        <v>76</v>
      </c>
      <c r="I60" s="24"/>
      <c r="J60" s="24"/>
      <c r="K60" s="25" t="n">
        <v>500</v>
      </c>
      <c r="L60" s="25"/>
      <c r="M60" s="26" t="s">
        <v>88</v>
      </c>
      <c r="N60" s="26"/>
      <c r="O60" s="26" t="s">
        <v>89</v>
      </c>
      <c r="P60" s="26"/>
    </row>
    <row r="61" customFormat="false" ht="25.5" hidden="false" customHeight="true" outlineLevel="0" collapsed="false">
      <c r="B61" s="23" t="s">
        <v>90</v>
      </c>
      <c r="C61" s="23"/>
      <c r="D61" s="23"/>
      <c r="E61" s="23"/>
      <c r="F61" s="23"/>
      <c r="G61" s="23"/>
      <c r="H61" s="24" t="s">
        <v>91</v>
      </c>
      <c r="I61" s="24"/>
      <c r="J61" s="24"/>
      <c r="K61" s="25"/>
      <c r="L61" s="25"/>
      <c r="M61" s="26" t="s">
        <v>92</v>
      </c>
      <c r="N61" s="26"/>
      <c r="O61" s="26" t="s">
        <v>93</v>
      </c>
      <c r="P61" s="26"/>
    </row>
    <row r="63" customFormat="false" ht="16.5" hidden="false" customHeight="true" outlineLevel="0" collapsed="false">
      <c r="A63" s="10" t="s">
        <v>94</v>
      </c>
      <c r="B63" s="10"/>
      <c r="C63" s="10"/>
      <c r="D63" s="10"/>
      <c r="E63" s="10"/>
      <c r="F63" s="10"/>
      <c r="G63" s="10"/>
      <c r="H63" s="10"/>
      <c r="I63" s="10"/>
      <c r="J63" s="10"/>
      <c r="K63" s="10"/>
      <c r="L63" s="10"/>
      <c r="M63" s="10"/>
      <c r="N63" s="10"/>
      <c r="O63" s="10"/>
      <c r="P63" s="10"/>
    </row>
    <row r="64" customFormat="false" ht="30" hidden="false" customHeight="true" outlineLevel="0" collapsed="false">
      <c r="B64" s="27" t="s">
        <v>95</v>
      </c>
      <c r="C64" s="27"/>
      <c r="D64" s="27"/>
      <c r="E64" s="27"/>
      <c r="F64" s="14" t="s">
        <v>96</v>
      </c>
      <c r="G64" s="14"/>
      <c r="H64" s="14"/>
      <c r="I64" s="14"/>
      <c r="J64" s="14"/>
      <c r="K64" s="14"/>
      <c r="L64" s="14"/>
      <c r="M64" s="14"/>
      <c r="N64" s="25" t="n">
        <f aca="false">-SUMIFS('Receipts Build'!$O$212:$O$215,'Receipts Build'!$N$212:$N$215,"&gt;="&amp;'Weekly Cash Flow'!$L$5,'Receipts Build'!$N$212:$N$215,"&lt;="&amp;'Weekly Cash Flow'!$N$6)</f>
        <v>-160.3</v>
      </c>
      <c r="O64" s="25"/>
      <c r="P64" s="25"/>
    </row>
    <row r="65" customFormat="false" ht="30" hidden="false" customHeight="true" outlineLevel="0" collapsed="false">
      <c r="B65" s="27" t="s">
        <v>97</v>
      </c>
      <c r="C65" s="27"/>
      <c r="D65" s="27"/>
      <c r="E65" s="27"/>
      <c r="F65" s="14" t="s">
        <v>98</v>
      </c>
      <c r="G65" s="14"/>
      <c r="H65" s="14"/>
      <c r="I65" s="14"/>
      <c r="J65" s="14"/>
      <c r="K65" s="14"/>
      <c r="L65" s="14"/>
      <c r="M65" s="14"/>
      <c r="N65" s="25" t="n">
        <f aca="false">-SUMIFS('Receipts Build'!$G$34:$G$98,'Receipts Build'!$K$34:$K$98,"On hold - 8D claim")</f>
        <v>-689.4</v>
      </c>
      <c r="O65" s="25"/>
      <c r="P65" s="25"/>
    </row>
    <row r="66" customFormat="false" ht="30" hidden="false" customHeight="true" outlineLevel="0" collapsed="false">
      <c r="B66" s="27" t="s">
        <v>99</v>
      </c>
      <c r="C66" s="27"/>
      <c r="D66" s="27"/>
      <c r="E66" s="27"/>
      <c r="F66" s="14" t="s">
        <v>100</v>
      </c>
      <c r="G66" s="14"/>
      <c r="H66" s="14"/>
      <c r="I66" s="14"/>
      <c r="J66" s="14"/>
      <c r="K66" s="14"/>
      <c r="L66" s="14"/>
      <c r="M66" s="14"/>
      <c r="N66" s="25" t="n">
        <f aca="false">Scenarios!$C$24-Scenarios!$C$21</f>
        <v>-795.1</v>
      </c>
      <c r="O66" s="25"/>
      <c r="P66" s="25"/>
    </row>
    <row r="68" customFormat="false" ht="15" hidden="false" customHeight="false" outlineLevel="0" collapsed="false">
      <c r="B68" s="28" t="s">
        <v>101</v>
      </c>
      <c r="C68" s="28"/>
      <c r="D68" s="28"/>
      <c r="E68" s="28"/>
      <c r="F68" s="28"/>
      <c r="G68" s="28"/>
      <c r="H68" s="28"/>
      <c r="I68" s="28"/>
      <c r="J68" s="28"/>
      <c r="K68" s="28"/>
      <c r="L68" s="28"/>
      <c r="M68" s="28"/>
      <c r="N68" s="28"/>
      <c r="O68" s="28"/>
      <c r="P68" s="28"/>
    </row>
  </sheetData>
  <mergeCells count="70">
    <mergeCell ref="A1:P1"/>
    <mergeCell ref="A2:P2"/>
    <mergeCell ref="B5:F5"/>
    <mergeCell ref="G5:K5"/>
    <mergeCell ref="L5:P5"/>
    <mergeCell ref="B6:F7"/>
    <mergeCell ref="G6:K7"/>
    <mergeCell ref="L6:P7"/>
    <mergeCell ref="B8:F8"/>
    <mergeCell ref="G8:K8"/>
    <mergeCell ref="L8:P8"/>
    <mergeCell ref="B10:F10"/>
    <mergeCell ref="G10:K10"/>
    <mergeCell ref="L10:P10"/>
    <mergeCell ref="B11:F12"/>
    <mergeCell ref="G11:K12"/>
    <mergeCell ref="L11:P12"/>
    <mergeCell ref="B13:F13"/>
    <mergeCell ref="G13:K13"/>
    <mergeCell ref="L13:P13"/>
    <mergeCell ref="A15:P15"/>
    <mergeCell ref="A32:P32"/>
    <mergeCell ref="A47:P47"/>
    <mergeCell ref="B48:P48"/>
    <mergeCell ref="B49:P49"/>
    <mergeCell ref="B50:P50"/>
    <mergeCell ref="B51:P51"/>
    <mergeCell ref="B52:P52"/>
    <mergeCell ref="A54:P54"/>
    <mergeCell ref="B56:G56"/>
    <mergeCell ref="H56:J56"/>
    <mergeCell ref="K56:L56"/>
    <mergeCell ref="M56:N56"/>
    <mergeCell ref="O56:P56"/>
    <mergeCell ref="B57:G57"/>
    <mergeCell ref="H57:J57"/>
    <mergeCell ref="K57:L57"/>
    <mergeCell ref="M57:N57"/>
    <mergeCell ref="O57:P57"/>
    <mergeCell ref="B58:G58"/>
    <mergeCell ref="H58:J58"/>
    <mergeCell ref="K58:L58"/>
    <mergeCell ref="M58:N58"/>
    <mergeCell ref="O58:P58"/>
    <mergeCell ref="B59:G59"/>
    <mergeCell ref="H59:J59"/>
    <mergeCell ref="K59:L59"/>
    <mergeCell ref="M59:N59"/>
    <mergeCell ref="O59:P59"/>
    <mergeCell ref="B60:G60"/>
    <mergeCell ref="H60:J60"/>
    <mergeCell ref="K60:L60"/>
    <mergeCell ref="M60:N60"/>
    <mergeCell ref="O60:P60"/>
    <mergeCell ref="B61:G61"/>
    <mergeCell ref="H61:J61"/>
    <mergeCell ref="K61:L61"/>
    <mergeCell ref="M61:N61"/>
    <mergeCell ref="O61:P61"/>
    <mergeCell ref="A63:P63"/>
    <mergeCell ref="B64:E64"/>
    <mergeCell ref="F64:M64"/>
    <mergeCell ref="N64:P64"/>
    <mergeCell ref="B65:E65"/>
    <mergeCell ref="F65:M65"/>
    <mergeCell ref="N65:P65"/>
    <mergeCell ref="B66:E66"/>
    <mergeCell ref="F66:M66"/>
    <mergeCell ref="N66:P66"/>
    <mergeCell ref="B68:P68"/>
  </mergeCells>
  <printOptions headings="false" gridLines="false" gridLinesSet="true" horizontalCentered="false" verticalCentered="false"/>
  <pageMargins left="0.3" right="0.3" top="0.4" bottom="0.4" header="0.5" footer="0.5"/>
  <pageSetup paperSize="9" scale="100" fitToWidth="1" fitToHeight="0" pageOrder="downThenOver" orientation="landscape" blackAndWhite="false" draft="false" cellComments="none" horizontalDpi="300" verticalDpi="300" copies="1"/>
  <headerFooter differentFirst="false" differentOddEven="false">
    <oddHeader>&amp;L&amp;"Arial,Bold"&amp;9Halcyon Metalworks Kft.&amp;R&amp;"Arial,Regular"&amp;913-WEEK ROLLING CASH FLOW FORECAST</oddHeader>
    <oddFooter>&amp;L&amp;"Arial,Regular"&amp;8Illustrative sample - fictional data - prepared by Tarlan Charkasov, ACCA&amp;R&amp;"Arial,Regular"&amp;8Page &amp;P of &amp;N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O5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15" min="2" style="0" width="10.6"/>
  </cols>
  <sheetData>
    <row r="1" customFormat="false" ht="25.5" hidden="false" customHeight="true" outlineLevel="0" collapsed="false">
      <c r="A1" s="29" t="s">
        <v>102</v>
      </c>
      <c r="B1" s="29"/>
      <c r="C1" s="29"/>
      <c r="D1" s="29"/>
      <c r="E1" s="29"/>
      <c r="F1" s="29"/>
      <c r="G1" s="29"/>
      <c r="H1" s="29"/>
      <c r="I1" s="29"/>
      <c r="J1" s="29"/>
      <c r="K1" s="29"/>
      <c r="L1" s="29"/>
      <c r="M1" s="29"/>
      <c r="N1" s="29"/>
      <c r="O1" s="29"/>
    </row>
    <row r="2" customFormat="false" ht="15" hidden="false" customHeight="true" outlineLevel="0" collapsed="false">
      <c r="A2" s="17" t="str">
        <f aca="false">"Direct method  |  EUR '000  |  13 weeks commencing "&amp;TEXT(Assumptions!$B$6,"dd-mmm-yy")&amp;"  |  scenario: "&amp;Assumptions!$B$9&amp;"  |  mitigation package: "&amp;IF(Assumptions!$B$10=1,"applied","not applied")</f>
        <v>Direct method  |  EUR '000  |  13 weeks commencing 27-Jul-26  |  scenario: Base  |  mitigation package: not applied</v>
      </c>
      <c r="B2" s="17"/>
      <c r="C2" s="17"/>
      <c r="D2" s="17"/>
      <c r="E2" s="17"/>
      <c r="F2" s="17"/>
      <c r="G2" s="17"/>
      <c r="H2" s="17"/>
      <c r="I2" s="17"/>
      <c r="J2" s="17"/>
      <c r="K2" s="17"/>
      <c r="L2" s="17"/>
      <c r="M2" s="17"/>
      <c r="N2" s="17"/>
      <c r="O2" s="17"/>
    </row>
    <row r="3" customFormat="false" ht="6" hidden="false" customHeight="true" outlineLevel="0" collapsed="false"/>
    <row r="4" customFormat="false" ht="13.5" hidden="false" customHeight="true" outlineLevel="0" collapsed="false">
      <c r="A4" s="30" t="s">
        <v>103</v>
      </c>
      <c r="B4" s="31" t="n">
        <v>1</v>
      </c>
      <c r="C4" s="31" t="n">
        <v>2</v>
      </c>
      <c r="D4" s="31" t="n">
        <v>3</v>
      </c>
      <c r="E4" s="31" t="n">
        <v>4</v>
      </c>
      <c r="F4" s="31" t="n">
        <v>5</v>
      </c>
      <c r="G4" s="31" t="n">
        <v>6</v>
      </c>
      <c r="H4" s="31" t="n">
        <v>7</v>
      </c>
      <c r="I4" s="31" t="n">
        <v>8</v>
      </c>
      <c r="J4" s="31" t="n">
        <v>9</v>
      </c>
      <c r="K4" s="31" t="n">
        <v>10</v>
      </c>
      <c r="L4" s="31" t="n">
        <v>11</v>
      </c>
      <c r="M4" s="31" t="n">
        <v>12</v>
      </c>
      <c r="N4" s="31" t="n">
        <v>13</v>
      </c>
      <c r="O4" s="32" t="s">
        <v>104</v>
      </c>
    </row>
    <row r="5" customFormat="false" ht="13.5" hidden="false" customHeight="true" outlineLevel="0" collapsed="false">
      <c r="A5" s="30" t="s">
        <v>105</v>
      </c>
      <c r="B5" s="33" t="n">
        <f aca="false">Assumptions!$B$6</f>
        <v>46230</v>
      </c>
      <c r="C5" s="33" t="n">
        <f aca="false">B5+7</f>
        <v>46237</v>
      </c>
      <c r="D5" s="33" t="n">
        <f aca="false">C5+7</f>
        <v>46244</v>
      </c>
      <c r="E5" s="33" t="n">
        <f aca="false">D5+7</f>
        <v>46251</v>
      </c>
      <c r="F5" s="33" t="n">
        <f aca="false">E5+7</f>
        <v>46258</v>
      </c>
      <c r="G5" s="33" t="n">
        <f aca="false">F5+7</f>
        <v>46265</v>
      </c>
      <c r="H5" s="33" t="n">
        <f aca="false">G5+7</f>
        <v>46272</v>
      </c>
      <c r="I5" s="33" t="n">
        <f aca="false">H5+7</f>
        <v>46279</v>
      </c>
      <c r="J5" s="33" t="n">
        <f aca="false">I5+7</f>
        <v>46286</v>
      </c>
      <c r="K5" s="33" t="n">
        <f aca="false">J5+7</f>
        <v>46293</v>
      </c>
      <c r="L5" s="33" t="n">
        <f aca="false">K5+7</f>
        <v>46300</v>
      </c>
      <c r="M5" s="33" t="n">
        <f aca="false">L5+7</f>
        <v>46307</v>
      </c>
      <c r="N5" s="33" t="n">
        <f aca="false">M5+7</f>
        <v>46314</v>
      </c>
      <c r="O5" s="33" t="n">
        <f aca="false">Assumptions!$B$6</f>
        <v>46230</v>
      </c>
    </row>
    <row r="6" customFormat="false" ht="13.5" hidden="false" customHeight="true" outlineLevel="0" collapsed="false">
      <c r="A6" s="30" t="s">
        <v>106</v>
      </c>
      <c r="B6" s="33" t="n">
        <f aca="false">B5+6</f>
        <v>46236</v>
      </c>
      <c r="C6" s="33" t="n">
        <f aca="false">C5+6</f>
        <v>46243</v>
      </c>
      <c r="D6" s="33" t="n">
        <f aca="false">D5+6</f>
        <v>46250</v>
      </c>
      <c r="E6" s="33" t="n">
        <f aca="false">E5+6</f>
        <v>46257</v>
      </c>
      <c r="F6" s="33" t="n">
        <f aca="false">F5+6</f>
        <v>46264</v>
      </c>
      <c r="G6" s="33" t="n">
        <f aca="false">G5+6</f>
        <v>46271</v>
      </c>
      <c r="H6" s="33" t="n">
        <f aca="false">H5+6</f>
        <v>46278</v>
      </c>
      <c r="I6" s="33" t="n">
        <f aca="false">I5+6</f>
        <v>46285</v>
      </c>
      <c r="J6" s="33" t="n">
        <f aca="false">J5+6</f>
        <v>46292</v>
      </c>
      <c r="K6" s="33" t="n">
        <f aca="false">K5+6</f>
        <v>46299</v>
      </c>
      <c r="L6" s="33" t="n">
        <f aca="false">L5+6</f>
        <v>46306</v>
      </c>
      <c r="M6" s="33" t="n">
        <f aca="false">M5+6</f>
        <v>46313</v>
      </c>
      <c r="N6" s="33" t="n">
        <f aca="false">N5+6</f>
        <v>46320</v>
      </c>
      <c r="O6" s="33" t="n">
        <f aca="false">N6</f>
        <v>46320</v>
      </c>
    </row>
    <row r="7" customFormat="false" ht="13.5" hidden="false" customHeight="true" outlineLevel="0" collapsed="false">
      <c r="A7" s="30" t="s">
        <v>107</v>
      </c>
      <c r="B7" s="34" t="str">
        <f aca="false">TEXT(B6,"mmm-yy")</f>
        <v>Aug-26</v>
      </c>
      <c r="C7" s="34" t="str">
        <f aca="false">TEXT(C6,"mmm-yy")</f>
        <v>Aug-26</v>
      </c>
      <c r="D7" s="34" t="str">
        <f aca="false">TEXT(D6,"mmm-yy")</f>
        <v>Aug-26</v>
      </c>
      <c r="E7" s="34" t="str">
        <f aca="false">TEXT(E6,"mmm-yy")</f>
        <v>Aug-26</v>
      </c>
      <c r="F7" s="34" t="str">
        <f aca="false">TEXT(F6,"mmm-yy")</f>
        <v>Aug-26</v>
      </c>
      <c r="G7" s="34" t="str">
        <f aca="false">TEXT(G6,"mmm-yy")</f>
        <v>Sep-26</v>
      </c>
      <c r="H7" s="34" t="str">
        <f aca="false">TEXT(H6,"mmm-yy")</f>
        <v>Sep-26</v>
      </c>
      <c r="I7" s="34" t="str">
        <f aca="false">TEXT(I6,"mmm-yy")</f>
        <v>Sep-26</v>
      </c>
      <c r="J7" s="34" t="str">
        <f aca="false">TEXT(J6,"mmm-yy")</f>
        <v>Sep-26</v>
      </c>
      <c r="K7" s="34" t="str">
        <f aca="false">TEXT(K6,"mmm-yy")</f>
        <v>Oct-26</v>
      </c>
      <c r="L7" s="34" t="str">
        <f aca="false">TEXT(L6,"mmm-yy")</f>
        <v>Oct-26</v>
      </c>
      <c r="M7" s="34" t="str">
        <f aca="false">TEXT(M6,"mmm-yy")</f>
        <v>Oct-26</v>
      </c>
      <c r="N7" s="34" t="str">
        <f aca="false">TEXT(N6,"mmm-yy")</f>
        <v>Oct-26</v>
      </c>
      <c r="O7" s="34" t="s">
        <v>108</v>
      </c>
    </row>
    <row r="9" customFormat="false" ht="13.5" hidden="false" customHeight="true" outlineLevel="0" collapsed="false">
      <c r="A9" s="35" t="s">
        <v>109</v>
      </c>
      <c r="B9" s="36" t="n">
        <f aca="false">Assumptions!$B$13</f>
        <v>620</v>
      </c>
      <c r="C9" s="36" t="n">
        <f aca="false">B41</f>
        <v>250</v>
      </c>
      <c r="D9" s="36" t="n">
        <f aca="false">C41</f>
        <v>250</v>
      </c>
      <c r="E9" s="36" t="n">
        <f aca="false">D41</f>
        <v>250</v>
      </c>
      <c r="F9" s="36" t="n">
        <f aca="false">E41</f>
        <v>250</v>
      </c>
      <c r="G9" s="36" t="n">
        <f aca="false">F41</f>
        <v>250</v>
      </c>
      <c r="H9" s="36" t="n">
        <f aca="false">G41</f>
        <v>250</v>
      </c>
      <c r="I9" s="36" t="n">
        <f aca="false">H41</f>
        <v>250</v>
      </c>
      <c r="J9" s="36" t="n">
        <f aca="false">I41</f>
        <v>250</v>
      </c>
      <c r="K9" s="36" t="n">
        <f aca="false">J41</f>
        <v>250</v>
      </c>
      <c r="L9" s="36" t="n">
        <f aca="false">K41</f>
        <v>250</v>
      </c>
      <c r="M9" s="36" t="n">
        <f aca="false">L41</f>
        <v>250</v>
      </c>
      <c r="N9" s="36" t="n">
        <f aca="false">M41</f>
        <v>250</v>
      </c>
      <c r="O9" s="37" t="n">
        <f aca="false">B9</f>
        <v>620</v>
      </c>
    </row>
    <row r="11" customFormat="false" ht="16.5" hidden="false" customHeight="true" outlineLevel="0" collapsed="false">
      <c r="A11" s="10" t="s">
        <v>110</v>
      </c>
      <c r="B11" s="10"/>
      <c r="C11" s="10"/>
      <c r="D11" s="10"/>
      <c r="E11" s="10"/>
      <c r="F11" s="10"/>
      <c r="G11" s="10"/>
      <c r="H11" s="10"/>
      <c r="I11" s="10"/>
      <c r="J11" s="10"/>
      <c r="K11" s="10"/>
      <c r="L11" s="10"/>
      <c r="M11" s="10"/>
      <c r="N11" s="10"/>
      <c r="O11" s="10"/>
    </row>
    <row r="12" customFormat="false" ht="13.5" hidden="false" customHeight="true" outlineLevel="0" collapsed="false">
      <c r="A12" s="38" t="s">
        <v>111</v>
      </c>
      <c r="B12" s="39" t="n">
        <f aca="false">SUMIFS('Receipts Build'!$O$34:$O$98,'Receipts Build'!$P$34:$P$98,$A12,'Receipts Build'!$N$34:$N$98,"&gt;="&amp;B$5,'Receipts Build'!$N$34:$N$98,"&lt;="&amp;B$6)+SUMIFS('Receipts Build'!$O$103:$O$207,'Receipts Build'!$P$103:$P$207,$A12,'Receipts Build'!$N$103:$N$207,"&gt;="&amp;B$5,'Receipts Build'!$N$103:$N$207,"&lt;="&amp;B$6)+SUMIFS('Receipts Build'!$O$212:$O$215,'Receipts Build'!$P$212:$P$215,$A12,'Receipts Build'!$N$212:$N$215,"&gt;="&amp;B$5,'Receipts Build'!$N$212:$N$215,"&lt;="&amp;B$6)</f>
        <v>448.3</v>
      </c>
      <c r="C12" s="39" t="n">
        <f aca="false">SUMIFS('Receipts Build'!$O$34:$O$98,'Receipts Build'!$P$34:$P$98,$A12,'Receipts Build'!$N$34:$N$98,"&gt;="&amp;C$5,'Receipts Build'!$N$34:$N$98,"&lt;="&amp;C$6)+SUMIFS('Receipts Build'!$O$103:$O$207,'Receipts Build'!$P$103:$P$207,$A12,'Receipts Build'!$N$103:$N$207,"&gt;="&amp;C$5,'Receipts Build'!$N$103:$N$207,"&lt;="&amp;C$6)+SUMIFS('Receipts Build'!$O$212:$O$215,'Receipts Build'!$P$212:$P$215,$A12,'Receipts Build'!$N$212:$N$215,"&gt;="&amp;C$5,'Receipts Build'!$N$212:$N$215,"&lt;="&amp;C$6)</f>
        <v>461.9</v>
      </c>
      <c r="D12" s="39" t="n">
        <f aca="false">SUMIFS('Receipts Build'!$O$34:$O$98,'Receipts Build'!$P$34:$P$98,$A12,'Receipts Build'!$N$34:$N$98,"&gt;="&amp;D$5,'Receipts Build'!$N$34:$N$98,"&lt;="&amp;D$6)+SUMIFS('Receipts Build'!$O$103:$O$207,'Receipts Build'!$P$103:$P$207,$A12,'Receipts Build'!$N$103:$N$207,"&gt;="&amp;D$5,'Receipts Build'!$N$103:$N$207,"&lt;="&amp;D$6)+SUMIFS('Receipts Build'!$O$212:$O$215,'Receipts Build'!$P$212:$P$215,$A12,'Receipts Build'!$N$212:$N$215,"&gt;="&amp;D$5,'Receipts Build'!$N$212:$N$215,"&lt;="&amp;D$6)</f>
        <v>434.9</v>
      </c>
      <c r="E12" s="39" t="n">
        <f aca="false">SUMIFS('Receipts Build'!$O$34:$O$98,'Receipts Build'!$P$34:$P$98,$A12,'Receipts Build'!$N$34:$N$98,"&gt;="&amp;E$5,'Receipts Build'!$N$34:$N$98,"&lt;="&amp;E$6)+SUMIFS('Receipts Build'!$O$103:$O$207,'Receipts Build'!$P$103:$P$207,$A12,'Receipts Build'!$N$103:$N$207,"&gt;="&amp;E$5,'Receipts Build'!$N$103:$N$207,"&lt;="&amp;E$6)+SUMIFS('Receipts Build'!$O$212:$O$215,'Receipts Build'!$P$212:$P$215,$A12,'Receipts Build'!$N$212:$N$215,"&gt;="&amp;E$5,'Receipts Build'!$N$212:$N$215,"&lt;="&amp;E$6)</f>
        <v>470.8</v>
      </c>
      <c r="F12" s="39" t="n">
        <f aca="false">SUMIFS('Receipts Build'!$O$34:$O$98,'Receipts Build'!$P$34:$P$98,$A12,'Receipts Build'!$N$34:$N$98,"&gt;="&amp;F$5,'Receipts Build'!$N$34:$N$98,"&lt;="&amp;F$6)+SUMIFS('Receipts Build'!$O$103:$O$207,'Receipts Build'!$P$103:$P$207,$A12,'Receipts Build'!$N$103:$N$207,"&gt;="&amp;F$5,'Receipts Build'!$N$103:$N$207,"&lt;="&amp;F$6)+SUMIFS('Receipts Build'!$O$212:$O$215,'Receipts Build'!$P$212:$P$215,$A12,'Receipts Build'!$N$212:$N$215,"&gt;="&amp;F$5,'Receipts Build'!$N$212:$N$215,"&lt;="&amp;F$6)</f>
        <v>443.9</v>
      </c>
      <c r="G12" s="39" t="n">
        <f aca="false">SUMIFS('Receipts Build'!$O$34:$O$98,'Receipts Build'!$P$34:$P$98,$A12,'Receipts Build'!$N$34:$N$98,"&gt;="&amp;G$5,'Receipts Build'!$N$34:$N$98,"&lt;="&amp;G$6)+SUMIFS('Receipts Build'!$O$103:$O$207,'Receipts Build'!$P$103:$P$207,$A12,'Receipts Build'!$N$103:$N$207,"&gt;="&amp;G$5,'Receipts Build'!$N$103:$N$207,"&lt;="&amp;G$6)+SUMIFS('Receipts Build'!$O$212:$O$215,'Receipts Build'!$P$212:$P$215,$A12,'Receipts Build'!$N$212:$N$215,"&gt;="&amp;G$5,'Receipts Build'!$N$212:$N$215,"&lt;="&amp;G$6)</f>
        <v>457.3</v>
      </c>
      <c r="H12" s="39" t="n">
        <f aca="false">SUMIFS('Receipts Build'!$O$34:$O$98,'Receipts Build'!$P$34:$P$98,$A12,'Receipts Build'!$N$34:$N$98,"&gt;="&amp;H$5,'Receipts Build'!$N$34:$N$98,"&lt;="&amp;H$6)+SUMIFS('Receipts Build'!$O$103:$O$207,'Receipts Build'!$P$103:$P$207,$A12,'Receipts Build'!$N$103:$N$207,"&gt;="&amp;H$5,'Receipts Build'!$N$103:$N$207,"&lt;="&amp;H$6)+SUMIFS('Receipts Build'!$O$212:$O$215,'Receipts Build'!$P$212:$P$215,$A12,'Receipts Build'!$N$212:$N$215,"&gt;="&amp;H$5,'Receipts Build'!$N$212:$N$215,"&lt;="&amp;H$6)</f>
        <v>430.4</v>
      </c>
      <c r="I12" s="39" t="n">
        <f aca="false">SUMIFS('Receipts Build'!$O$34:$O$98,'Receipts Build'!$P$34:$P$98,$A12,'Receipts Build'!$N$34:$N$98,"&gt;="&amp;I$5,'Receipts Build'!$N$34:$N$98,"&lt;="&amp;I$6)+SUMIFS('Receipts Build'!$O$103:$O$207,'Receipts Build'!$P$103:$P$207,$A12,'Receipts Build'!$N$103:$N$207,"&gt;="&amp;I$5,'Receipts Build'!$N$103:$N$207,"&lt;="&amp;I$6)+SUMIFS('Receipts Build'!$O$212:$O$215,'Receipts Build'!$P$212:$P$215,$A12,'Receipts Build'!$N$212:$N$215,"&gt;="&amp;I$5,'Receipts Build'!$N$212:$N$215,"&lt;="&amp;I$6)</f>
        <v>229.7</v>
      </c>
      <c r="J12" s="39" t="n">
        <f aca="false">SUMIFS('Receipts Build'!$O$34:$O$98,'Receipts Build'!$P$34:$P$98,$A12,'Receipts Build'!$N$34:$N$98,"&gt;="&amp;J$5,'Receipts Build'!$N$34:$N$98,"&lt;="&amp;J$6)+SUMIFS('Receipts Build'!$O$103:$O$207,'Receipts Build'!$P$103:$P$207,$A12,'Receipts Build'!$N$103:$N$207,"&gt;="&amp;J$5,'Receipts Build'!$N$103:$N$207,"&lt;="&amp;J$6)+SUMIFS('Receipts Build'!$O$212:$O$215,'Receipts Build'!$P$212:$P$215,$A12,'Receipts Build'!$N$212:$N$215,"&gt;="&amp;J$5,'Receipts Build'!$N$212:$N$215,"&lt;="&amp;J$6)</f>
        <v>223</v>
      </c>
      <c r="K12" s="39" t="n">
        <f aca="false">SUMIFS('Receipts Build'!$O$34:$O$98,'Receipts Build'!$P$34:$P$98,$A12,'Receipts Build'!$N$34:$N$98,"&gt;="&amp;K$5,'Receipts Build'!$N$34:$N$98,"&lt;="&amp;K$6)+SUMIFS('Receipts Build'!$O$103:$O$207,'Receipts Build'!$P$103:$P$207,$A12,'Receipts Build'!$N$103:$N$207,"&gt;="&amp;K$5,'Receipts Build'!$N$103:$N$207,"&lt;="&amp;K$6)+SUMIFS('Receipts Build'!$O$212:$O$215,'Receipts Build'!$P$212:$P$215,$A12,'Receipts Build'!$N$212:$N$215,"&gt;="&amp;K$5,'Receipts Build'!$N$212:$N$215,"&lt;="&amp;K$6)</f>
        <v>216.4</v>
      </c>
      <c r="L12" s="39" t="n">
        <f aca="false">SUMIFS('Receipts Build'!$O$34:$O$98,'Receipts Build'!$P$34:$P$98,$A12,'Receipts Build'!$N$34:$N$98,"&gt;="&amp;L$5,'Receipts Build'!$N$34:$N$98,"&lt;="&amp;L$6)+SUMIFS('Receipts Build'!$O$103:$O$207,'Receipts Build'!$P$103:$P$207,$A12,'Receipts Build'!$N$103:$N$207,"&gt;="&amp;L$5,'Receipts Build'!$N$103:$N$207,"&lt;="&amp;L$6)+SUMIFS('Receipts Build'!$O$212:$O$215,'Receipts Build'!$P$212:$P$215,$A12,'Receipts Build'!$N$212:$N$215,"&gt;="&amp;L$5,'Receipts Build'!$N$212:$N$215,"&lt;="&amp;L$6)</f>
        <v>459.5</v>
      </c>
      <c r="M12" s="39" t="n">
        <f aca="false">SUMIFS('Receipts Build'!$O$34:$O$98,'Receipts Build'!$P$34:$P$98,$A12,'Receipts Build'!$N$34:$N$98,"&gt;="&amp;M$5,'Receipts Build'!$N$34:$N$98,"&lt;="&amp;M$6)+SUMIFS('Receipts Build'!$O$103:$O$207,'Receipts Build'!$P$103:$P$207,$A12,'Receipts Build'!$N$103:$N$207,"&gt;="&amp;M$5,'Receipts Build'!$N$103:$N$207,"&lt;="&amp;M$6)+SUMIFS('Receipts Build'!$O$212:$O$215,'Receipts Build'!$P$212:$P$215,$A12,'Receipts Build'!$N$212:$N$215,"&gt;="&amp;M$5,'Receipts Build'!$N$212:$N$215,"&lt;="&amp;M$6)</f>
        <v>1139.3</v>
      </c>
      <c r="N12" s="39" t="n">
        <f aca="false">SUMIFS('Receipts Build'!$O$34:$O$98,'Receipts Build'!$P$34:$P$98,$A12,'Receipts Build'!$N$34:$N$98,"&gt;="&amp;N$5,'Receipts Build'!$N$34:$N$98,"&lt;="&amp;N$6)+SUMIFS('Receipts Build'!$O$103:$O$207,'Receipts Build'!$P$103:$P$207,$A12,'Receipts Build'!$N$103:$N$207,"&gt;="&amp;N$5,'Receipts Build'!$N$103:$N$207,"&lt;="&amp;N$6)+SUMIFS('Receipts Build'!$O$212:$O$215,'Receipts Build'!$P$212:$P$215,$A12,'Receipts Build'!$N$212:$N$215,"&gt;="&amp;N$5,'Receipts Build'!$N$212:$N$215,"&lt;="&amp;N$6)</f>
        <v>384.7</v>
      </c>
      <c r="O12" s="40" t="n">
        <f aca="false">SUM(B12:N12)</f>
        <v>5800.1</v>
      </c>
    </row>
    <row r="13" customFormat="false" ht="13.5" hidden="false" customHeight="true" outlineLevel="0" collapsed="false">
      <c r="A13" s="38" t="s">
        <v>112</v>
      </c>
      <c r="B13" s="39" t="n">
        <f aca="false">SUMIFS('Receipts Build'!$O$34:$O$98,'Receipts Build'!$P$34:$P$98,$A13,'Receipts Build'!$N$34:$N$98,"&gt;="&amp;B$5,'Receipts Build'!$N$34:$N$98,"&lt;="&amp;B$6)+SUMIFS('Receipts Build'!$O$103:$O$207,'Receipts Build'!$P$103:$P$207,$A13,'Receipts Build'!$N$103:$N$207,"&gt;="&amp;B$5,'Receipts Build'!$N$103:$N$207,"&lt;="&amp;B$6)+SUMIFS('Receipts Build'!$O$212:$O$215,'Receipts Build'!$P$212:$P$215,$A13,'Receipts Build'!$N$212:$N$215,"&gt;="&amp;B$5,'Receipts Build'!$N$212:$N$215,"&lt;="&amp;B$6)</f>
        <v>194</v>
      </c>
      <c r="C13" s="39" t="n">
        <f aca="false">SUMIFS('Receipts Build'!$O$34:$O$98,'Receipts Build'!$P$34:$P$98,$A13,'Receipts Build'!$N$34:$N$98,"&gt;="&amp;C$5,'Receipts Build'!$N$34:$N$98,"&lt;="&amp;C$6)+SUMIFS('Receipts Build'!$O$103:$O$207,'Receipts Build'!$P$103:$P$207,$A13,'Receipts Build'!$N$103:$N$207,"&gt;="&amp;C$5,'Receipts Build'!$N$103:$N$207,"&lt;="&amp;C$6)+SUMIFS('Receipts Build'!$O$212:$O$215,'Receipts Build'!$P$212:$P$215,$A13,'Receipts Build'!$N$212:$N$215,"&gt;="&amp;C$5,'Receipts Build'!$N$212:$N$215,"&lt;="&amp;C$6)</f>
        <v>199.9</v>
      </c>
      <c r="D13" s="39" t="n">
        <f aca="false">SUMIFS('Receipts Build'!$O$34:$O$98,'Receipts Build'!$P$34:$P$98,$A13,'Receipts Build'!$N$34:$N$98,"&gt;="&amp;D$5,'Receipts Build'!$N$34:$N$98,"&lt;="&amp;D$6)+SUMIFS('Receipts Build'!$O$103:$O$207,'Receipts Build'!$P$103:$P$207,$A13,'Receipts Build'!$N$103:$N$207,"&gt;="&amp;D$5,'Receipts Build'!$N$103:$N$207,"&lt;="&amp;D$6)+SUMIFS('Receipts Build'!$O$212:$O$215,'Receipts Build'!$P$212:$P$215,$A13,'Receipts Build'!$N$212:$N$215,"&gt;="&amp;D$5,'Receipts Build'!$N$212:$N$215,"&lt;="&amp;D$6)</f>
        <v>188.2</v>
      </c>
      <c r="E13" s="39" t="n">
        <f aca="false">SUMIFS('Receipts Build'!$O$34:$O$98,'Receipts Build'!$P$34:$P$98,$A13,'Receipts Build'!$N$34:$N$98,"&gt;="&amp;E$5,'Receipts Build'!$N$34:$N$98,"&lt;="&amp;E$6)+SUMIFS('Receipts Build'!$O$103:$O$207,'Receipts Build'!$P$103:$P$207,$A13,'Receipts Build'!$N$103:$N$207,"&gt;="&amp;E$5,'Receipts Build'!$N$103:$N$207,"&lt;="&amp;E$6)+SUMIFS('Receipts Build'!$O$212:$O$215,'Receipts Build'!$P$212:$P$215,$A13,'Receipts Build'!$N$212:$N$215,"&gt;="&amp;E$5,'Receipts Build'!$N$212:$N$215,"&lt;="&amp;E$6)</f>
        <v>203.8</v>
      </c>
      <c r="F13" s="39" t="n">
        <f aca="false">SUMIFS('Receipts Build'!$O$34:$O$98,'Receipts Build'!$P$34:$P$98,$A13,'Receipts Build'!$N$34:$N$98,"&gt;="&amp;F$5,'Receipts Build'!$N$34:$N$98,"&lt;="&amp;F$6)+SUMIFS('Receipts Build'!$O$103:$O$207,'Receipts Build'!$P$103:$P$207,$A13,'Receipts Build'!$N$103:$N$207,"&gt;="&amp;F$5,'Receipts Build'!$N$103:$N$207,"&lt;="&amp;F$6)+SUMIFS('Receipts Build'!$O$212:$O$215,'Receipts Build'!$P$212:$P$215,$A13,'Receipts Build'!$N$212:$N$215,"&gt;="&amp;F$5,'Receipts Build'!$N$212:$N$215,"&lt;="&amp;F$6)</f>
        <v>192.2</v>
      </c>
      <c r="G13" s="39" t="n">
        <f aca="false">SUMIFS('Receipts Build'!$O$34:$O$98,'Receipts Build'!$P$34:$P$98,$A13,'Receipts Build'!$N$34:$N$98,"&gt;="&amp;G$5,'Receipts Build'!$N$34:$N$98,"&lt;="&amp;G$6)+SUMIFS('Receipts Build'!$O$103:$O$207,'Receipts Build'!$P$103:$P$207,$A13,'Receipts Build'!$N$103:$N$207,"&gt;="&amp;G$5,'Receipts Build'!$N$103:$N$207,"&lt;="&amp;G$6)+SUMIFS('Receipts Build'!$O$212:$O$215,'Receipts Build'!$P$212:$P$215,$A13,'Receipts Build'!$N$212:$N$215,"&gt;="&amp;G$5,'Receipts Build'!$N$212:$N$215,"&lt;="&amp;G$6)</f>
        <v>197</v>
      </c>
      <c r="H13" s="39" t="n">
        <f aca="false">SUMIFS('Receipts Build'!$O$34:$O$98,'Receipts Build'!$P$34:$P$98,$A13,'Receipts Build'!$N$34:$N$98,"&gt;="&amp;H$5,'Receipts Build'!$N$34:$N$98,"&lt;="&amp;H$6)+SUMIFS('Receipts Build'!$O$103:$O$207,'Receipts Build'!$P$103:$P$207,$A13,'Receipts Build'!$N$103:$N$207,"&gt;="&amp;H$5,'Receipts Build'!$N$103:$N$207,"&lt;="&amp;H$6)+SUMIFS('Receipts Build'!$O$212:$O$215,'Receipts Build'!$P$212:$P$215,$A13,'Receipts Build'!$N$212:$N$215,"&gt;="&amp;H$5,'Receipts Build'!$N$212:$N$215,"&lt;="&amp;H$6)</f>
        <v>189.1</v>
      </c>
      <c r="I13" s="39" t="n">
        <f aca="false">SUMIFS('Receipts Build'!$O$34:$O$98,'Receipts Build'!$P$34:$P$98,$A13,'Receipts Build'!$N$34:$N$98,"&gt;="&amp;I$5,'Receipts Build'!$N$34:$N$98,"&lt;="&amp;I$6)+SUMIFS('Receipts Build'!$O$103:$O$207,'Receipts Build'!$P$103:$P$207,$A13,'Receipts Build'!$N$103:$N$207,"&gt;="&amp;I$5,'Receipts Build'!$N$103:$N$207,"&lt;="&amp;I$6)+SUMIFS('Receipts Build'!$O$212:$O$215,'Receipts Build'!$P$212:$P$215,$A13,'Receipts Build'!$N$212:$N$215,"&gt;="&amp;I$5,'Receipts Build'!$N$212:$N$215,"&lt;="&amp;I$6)</f>
        <v>160.3</v>
      </c>
      <c r="J13" s="39" t="n">
        <f aca="false">SUMIFS('Receipts Build'!$O$34:$O$98,'Receipts Build'!$P$34:$P$98,$A13,'Receipts Build'!$N$34:$N$98,"&gt;="&amp;J$5,'Receipts Build'!$N$34:$N$98,"&lt;="&amp;J$6)+SUMIFS('Receipts Build'!$O$103:$O$207,'Receipts Build'!$P$103:$P$207,$A13,'Receipts Build'!$N$103:$N$207,"&gt;="&amp;J$5,'Receipts Build'!$N$103:$N$207,"&lt;="&amp;J$6)+SUMIFS('Receipts Build'!$O$212:$O$215,'Receipts Build'!$P$212:$P$215,$A13,'Receipts Build'!$N$212:$N$215,"&gt;="&amp;J$5,'Receipts Build'!$N$212:$N$215,"&lt;="&amp;J$6)</f>
        <v>158.6</v>
      </c>
      <c r="K13" s="39" t="n">
        <f aca="false">SUMIFS('Receipts Build'!$O$34:$O$98,'Receipts Build'!$P$34:$P$98,$A13,'Receipts Build'!$N$34:$N$98,"&gt;="&amp;K$5,'Receipts Build'!$N$34:$N$98,"&lt;="&amp;K$6)+SUMIFS('Receipts Build'!$O$103:$O$207,'Receipts Build'!$P$103:$P$207,$A13,'Receipts Build'!$N$103:$N$207,"&gt;="&amp;K$5,'Receipts Build'!$N$103:$N$207,"&lt;="&amp;K$6)+SUMIFS('Receipts Build'!$O$212:$O$215,'Receipts Build'!$P$212:$P$215,$A13,'Receipts Build'!$N$212:$N$215,"&gt;="&amp;K$5,'Receipts Build'!$N$212:$N$215,"&lt;="&amp;K$6)</f>
        <v>142.3</v>
      </c>
      <c r="L13" s="39" t="n">
        <f aca="false">SUMIFS('Receipts Build'!$O$34:$O$98,'Receipts Build'!$P$34:$P$98,$A13,'Receipts Build'!$N$34:$N$98,"&gt;="&amp;L$5,'Receipts Build'!$N$34:$N$98,"&lt;="&amp;L$6)+SUMIFS('Receipts Build'!$O$103:$O$207,'Receipts Build'!$P$103:$P$207,$A13,'Receipts Build'!$N$103:$N$207,"&gt;="&amp;L$5,'Receipts Build'!$N$103:$N$207,"&lt;="&amp;L$6)+SUMIFS('Receipts Build'!$O$212:$O$215,'Receipts Build'!$P$212:$P$215,$A13,'Receipts Build'!$N$212:$N$215,"&gt;="&amp;L$5,'Receipts Build'!$N$212:$N$215,"&lt;="&amp;L$6)</f>
        <v>153.6</v>
      </c>
      <c r="M13" s="39" t="n">
        <f aca="false">SUMIFS('Receipts Build'!$O$34:$O$98,'Receipts Build'!$P$34:$P$98,$A13,'Receipts Build'!$N$34:$N$98,"&gt;="&amp;M$5,'Receipts Build'!$N$34:$N$98,"&lt;="&amp;M$6)+SUMIFS('Receipts Build'!$O$103:$O$207,'Receipts Build'!$P$103:$P$207,$A13,'Receipts Build'!$N$103:$N$207,"&gt;="&amp;M$5,'Receipts Build'!$N$103:$N$207,"&lt;="&amp;M$6)+SUMIFS('Receipts Build'!$O$212:$O$215,'Receipts Build'!$P$212:$P$215,$A13,'Receipts Build'!$N$212:$N$215,"&gt;="&amp;M$5,'Receipts Build'!$N$212:$N$215,"&lt;="&amp;M$6)</f>
        <v>192.6</v>
      </c>
      <c r="N13" s="39" t="n">
        <f aca="false">SUMIFS('Receipts Build'!$O$34:$O$98,'Receipts Build'!$P$34:$P$98,$A13,'Receipts Build'!$N$34:$N$98,"&gt;="&amp;N$5,'Receipts Build'!$N$34:$N$98,"&lt;="&amp;N$6)+SUMIFS('Receipts Build'!$O$103:$O$207,'Receipts Build'!$P$103:$P$207,$A13,'Receipts Build'!$N$103:$N$207,"&gt;="&amp;N$5,'Receipts Build'!$N$103:$N$207,"&lt;="&amp;N$6)+SUMIFS('Receipts Build'!$O$212:$O$215,'Receipts Build'!$P$212:$P$215,$A13,'Receipts Build'!$N$212:$N$215,"&gt;="&amp;N$5,'Receipts Build'!$N$212:$N$215,"&lt;="&amp;N$6)</f>
        <v>126.4</v>
      </c>
      <c r="O13" s="40" t="n">
        <f aca="false">SUM(B13:N13)</f>
        <v>2298</v>
      </c>
    </row>
    <row r="14" customFormat="false" ht="13.5" hidden="false" customHeight="true" outlineLevel="0" collapsed="false">
      <c r="A14" s="38" t="s">
        <v>113</v>
      </c>
      <c r="B14" s="39" t="n">
        <f aca="false">SUMIFS('Receipts Build'!$O$34:$O$98,'Receipts Build'!$P$34:$P$98,$A14,'Receipts Build'!$N$34:$N$98,"&gt;="&amp;B$5,'Receipts Build'!$N$34:$N$98,"&lt;="&amp;B$6)+SUMIFS('Receipts Build'!$O$103:$O$207,'Receipts Build'!$P$103:$P$207,$A14,'Receipts Build'!$N$103:$N$207,"&gt;="&amp;B$5,'Receipts Build'!$N$103:$N$207,"&lt;="&amp;B$6)+SUMIFS('Receipts Build'!$O$212:$O$215,'Receipts Build'!$P$212:$P$215,$A14,'Receipts Build'!$N$212:$N$215,"&gt;="&amp;B$5,'Receipts Build'!$N$212:$N$215,"&lt;="&amp;B$6)</f>
        <v>60.8</v>
      </c>
      <c r="C14" s="39" t="n">
        <f aca="false">SUMIFS('Receipts Build'!$O$34:$O$98,'Receipts Build'!$P$34:$P$98,$A14,'Receipts Build'!$N$34:$N$98,"&gt;="&amp;C$5,'Receipts Build'!$N$34:$N$98,"&lt;="&amp;C$6)+SUMIFS('Receipts Build'!$O$103:$O$207,'Receipts Build'!$P$103:$P$207,$A14,'Receipts Build'!$N$103:$N$207,"&gt;="&amp;C$5,'Receipts Build'!$N$103:$N$207,"&lt;="&amp;C$6)+SUMIFS('Receipts Build'!$O$212:$O$215,'Receipts Build'!$P$212:$P$215,$A14,'Receipts Build'!$N$212:$N$215,"&gt;="&amp;C$5,'Receipts Build'!$N$212:$N$215,"&lt;="&amp;C$6)</f>
        <v>27.6</v>
      </c>
      <c r="D14" s="39" t="n">
        <f aca="false">SUMIFS('Receipts Build'!$O$34:$O$98,'Receipts Build'!$P$34:$P$98,$A14,'Receipts Build'!$N$34:$N$98,"&gt;="&amp;D$5,'Receipts Build'!$N$34:$N$98,"&lt;="&amp;D$6)+SUMIFS('Receipts Build'!$O$103:$O$207,'Receipts Build'!$P$103:$P$207,$A14,'Receipts Build'!$N$103:$N$207,"&gt;="&amp;D$5,'Receipts Build'!$N$103:$N$207,"&lt;="&amp;D$6)+SUMIFS('Receipts Build'!$O$212:$O$215,'Receipts Build'!$P$212:$P$215,$A14,'Receipts Build'!$N$212:$N$215,"&gt;="&amp;D$5,'Receipts Build'!$N$212:$N$215,"&lt;="&amp;D$6)</f>
        <v>54</v>
      </c>
      <c r="E14" s="39" t="n">
        <f aca="false">SUMIFS('Receipts Build'!$O$34:$O$98,'Receipts Build'!$P$34:$P$98,$A14,'Receipts Build'!$N$34:$N$98,"&gt;="&amp;E$5,'Receipts Build'!$N$34:$N$98,"&lt;="&amp;E$6)+SUMIFS('Receipts Build'!$O$103:$O$207,'Receipts Build'!$P$103:$P$207,$A14,'Receipts Build'!$N$103:$N$207,"&gt;="&amp;E$5,'Receipts Build'!$N$103:$N$207,"&lt;="&amp;E$6)+SUMIFS('Receipts Build'!$O$212:$O$215,'Receipts Build'!$P$212:$P$215,$A14,'Receipts Build'!$N$212:$N$215,"&gt;="&amp;E$5,'Receipts Build'!$N$212:$N$215,"&lt;="&amp;E$6)</f>
        <v>28.1</v>
      </c>
      <c r="F14" s="39" t="n">
        <f aca="false">SUMIFS('Receipts Build'!$O$34:$O$98,'Receipts Build'!$P$34:$P$98,$A14,'Receipts Build'!$N$34:$N$98,"&gt;="&amp;F$5,'Receipts Build'!$N$34:$N$98,"&lt;="&amp;F$6)+SUMIFS('Receipts Build'!$O$103:$O$207,'Receipts Build'!$P$103:$P$207,$A14,'Receipts Build'!$N$103:$N$207,"&gt;="&amp;F$5,'Receipts Build'!$N$103:$N$207,"&lt;="&amp;F$6)+SUMIFS('Receipts Build'!$O$212:$O$215,'Receipts Build'!$P$212:$P$215,$A14,'Receipts Build'!$N$212:$N$215,"&gt;="&amp;F$5,'Receipts Build'!$N$212:$N$215,"&lt;="&amp;F$6)</f>
        <v>26.5</v>
      </c>
      <c r="G14" s="39" t="n">
        <f aca="false">SUMIFS('Receipts Build'!$O$34:$O$98,'Receipts Build'!$P$34:$P$98,$A14,'Receipts Build'!$N$34:$N$98,"&gt;="&amp;G$5,'Receipts Build'!$N$34:$N$98,"&lt;="&amp;G$6)+SUMIFS('Receipts Build'!$O$103:$O$207,'Receipts Build'!$P$103:$P$207,$A14,'Receipts Build'!$N$103:$N$207,"&gt;="&amp;G$5,'Receipts Build'!$N$103:$N$207,"&lt;="&amp;G$6)+SUMIFS('Receipts Build'!$O$212:$O$215,'Receipts Build'!$P$212:$P$215,$A14,'Receipts Build'!$N$212:$N$215,"&gt;="&amp;G$5,'Receipts Build'!$N$212:$N$215,"&lt;="&amp;G$6)</f>
        <v>27.3</v>
      </c>
      <c r="H14" s="39" t="n">
        <f aca="false">SUMIFS('Receipts Build'!$O$34:$O$98,'Receipts Build'!$P$34:$P$98,$A14,'Receipts Build'!$N$34:$N$98,"&gt;="&amp;H$5,'Receipts Build'!$N$34:$N$98,"&lt;="&amp;H$6)+SUMIFS('Receipts Build'!$O$103:$O$207,'Receipts Build'!$P$103:$P$207,$A14,'Receipts Build'!$N$103:$N$207,"&gt;="&amp;H$5,'Receipts Build'!$N$103:$N$207,"&lt;="&amp;H$6)+SUMIFS('Receipts Build'!$O$212:$O$215,'Receipts Build'!$P$212:$P$215,$A14,'Receipts Build'!$N$212:$N$215,"&gt;="&amp;H$5,'Receipts Build'!$N$212:$N$215,"&lt;="&amp;H$6)</f>
        <v>26.8</v>
      </c>
      <c r="I14" s="39" t="n">
        <f aca="false">SUMIFS('Receipts Build'!$O$34:$O$98,'Receipts Build'!$P$34:$P$98,$A14,'Receipts Build'!$N$34:$N$98,"&gt;="&amp;I$5,'Receipts Build'!$N$34:$N$98,"&lt;="&amp;I$6)+SUMIFS('Receipts Build'!$O$103:$O$207,'Receipts Build'!$P$103:$P$207,$A14,'Receipts Build'!$N$103:$N$207,"&gt;="&amp;I$5,'Receipts Build'!$N$103:$N$207,"&lt;="&amp;I$6)+SUMIFS('Receipts Build'!$O$212:$O$215,'Receipts Build'!$P$212:$P$215,$A14,'Receipts Build'!$N$212:$N$215,"&gt;="&amp;I$5,'Receipts Build'!$N$212:$N$215,"&lt;="&amp;I$6)</f>
        <v>27.3</v>
      </c>
      <c r="J14" s="39" t="n">
        <f aca="false">SUMIFS('Receipts Build'!$O$34:$O$98,'Receipts Build'!$P$34:$P$98,$A14,'Receipts Build'!$N$34:$N$98,"&gt;="&amp;J$5,'Receipts Build'!$N$34:$N$98,"&lt;="&amp;J$6)+SUMIFS('Receipts Build'!$O$103:$O$207,'Receipts Build'!$P$103:$P$207,$A14,'Receipts Build'!$N$103:$N$207,"&gt;="&amp;J$5,'Receipts Build'!$N$103:$N$207,"&lt;="&amp;J$6)+SUMIFS('Receipts Build'!$O$212:$O$215,'Receipts Build'!$P$212:$P$215,$A14,'Receipts Build'!$N$212:$N$215,"&gt;="&amp;J$5,'Receipts Build'!$N$212:$N$215,"&lt;="&amp;J$6)</f>
        <v>5.4</v>
      </c>
      <c r="K14" s="39" t="n">
        <f aca="false">SUMIFS('Receipts Build'!$O$34:$O$98,'Receipts Build'!$P$34:$P$98,$A14,'Receipts Build'!$N$34:$N$98,"&gt;="&amp;K$5,'Receipts Build'!$N$34:$N$98,"&lt;="&amp;K$6)+SUMIFS('Receipts Build'!$O$103:$O$207,'Receipts Build'!$P$103:$P$207,$A14,'Receipts Build'!$N$103:$N$207,"&gt;="&amp;K$5,'Receipts Build'!$N$103:$N$207,"&lt;="&amp;K$6)+SUMIFS('Receipts Build'!$O$212:$O$215,'Receipts Build'!$P$212:$P$215,$A14,'Receipts Build'!$N$212:$N$215,"&gt;="&amp;K$5,'Receipts Build'!$N$212:$N$215,"&lt;="&amp;K$6)</f>
        <v>5.4</v>
      </c>
      <c r="L14" s="39" t="n">
        <f aca="false">SUMIFS('Receipts Build'!$O$34:$O$98,'Receipts Build'!$P$34:$P$98,$A14,'Receipts Build'!$N$34:$N$98,"&gt;="&amp;L$5,'Receipts Build'!$N$34:$N$98,"&lt;="&amp;L$6)+SUMIFS('Receipts Build'!$O$103:$O$207,'Receipts Build'!$P$103:$P$207,$A14,'Receipts Build'!$N$103:$N$207,"&gt;="&amp;L$5,'Receipts Build'!$N$103:$N$207,"&lt;="&amp;L$6)+SUMIFS('Receipts Build'!$O$212:$O$215,'Receipts Build'!$P$212:$P$215,$A14,'Receipts Build'!$N$212:$N$215,"&gt;="&amp;L$5,'Receipts Build'!$N$212:$N$215,"&lt;="&amp;L$6)</f>
        <v>22.8</v>
      </c>
      <c r="M14" s="39" t="n">
        <f aca="false">SUMIFS('Receipts Build'!$O$34:$O$98,'Receipts Build'!$P$34:$P$98,$A14,'Receipts Build'!$N$34:$N$98,"&gt;="&amp;M$5,'Receipts Build'!$N$34:$N$98,"&lt;="&amp;M$6)+SUMIFS('Receipts Build'!$O$103:$O$207,'Receipts Build'!$P$103:$P$207,$A14,'Receipts Build'!$N$103:$N$207,"&gt;="&amp;M$5,'Receipts Build'!$N$103:$N$207,"&lt;="&amp;M$6)+SUMIFS('Receipts Build'!$O$212:$O$215,'Receipts Build'!$P$212:$P$215,$A14,'Receipts Build'!$N$212:$N$215,"&gt;="&amp;M$5,'Receipts Build'!$N$212:$N$215,"&lt;="&amp;M$6)</f>
        <v>28.1</v>
      </c>
      <c r="N14" s="39" t="n">
        <f aca="false">SUMIFS('Receipts Build'!$O$34:$O$98,'Receipts Build'!$P$34:$P$98,$A14,'Receipts Build'!$N$34:$N$98,"&gt;="&amp;N$5,'Receipts Build'!$N$34:$N$98,"&lt;="&amp;N$6)+SUMIFS('Receipts Build'!$O$103:$O$207,'Receipts Build'!$P$103:$P$207,$A14,'Receipts Build'!$N$103:$N$207,"&gt;="&amp;N$5,'Receipts Build'!$N$103:$N$207,"&lt;="&amp;N$6)+SUMIFS('Receipts Build'!$O$212:$O$215,'Receipts Build'!$P$212:$P$215,$A14,'Receipts Build'!$N$212:$N$215,"&gt;="&amp;N$5,'Receipts Build'!$N$212:$N$215,"&lt;="&amp;N$6)</f>
        <v>29.4</v>
      </c>
      <c r="O14" s="40" t="n">
        <f aca="false">SUM(B14:N14)</f>
        <v>369.5</v>
      </c>
    </row>
    <row r="15" customFormat="false" ht="13.5" hidden="false" customHeight="true" outlineLevel="0" collapsed="false">
      <c r="A15" s="38" t="s">
        <v>114</v>
      </c>
      <c r="B15" s="39" t="n">
        <f aca="false">SUMIFS('Receipts Build'!$O$34:$O$98,'Receipts Build'!$P$34:$P$98,$A15,'Receipts Build'!$N$34:$N$98,"&gt;="&amp;B$5,'Receipts Build'!$N$34:$N$98,"&lt;="&amp;B$6)+SUMIFS('Receipts Build'!$O$103:$O$207,'Receipts Build'!$P$103:$P$207,$A15,'Receipts Build'!$N$103:$N$207,"&gt;="&amp;B$5,'Receipts Build'!$N$103:$N$207,"&lt;="&amp;B$6)+SUMIFS('Receipts Build'!$O$212:$O$215,'Receipts Build'!$P$212:$P$215,$A15,'Receipts Build'!$N$212:$N$215,"&gt;="&amp;B$5,'Receipts Build'!$N$212:$N$215,"&lt;="&amp;B$6)</f>
        <v>0</v>
      </c>
      <c r="C15" s="39" t="n">
        <f aca="false">SUMIFS('Receipts Build'!$O$34:$O$98,'Receipts Build'!$P$34:$P$98,$A15,'Receipts Build'!$N$34:$N$98,"&gt;="&amp;C$5,'Receipts Build'!$N$34:$N$98,"&lt;="&amp;C$6)+SUMIFS('Receipts Build'!$O$103:$O$207,'Receipts Build'!$P$103:$P$207,$A15,'Receipts Build'!$N$103:$N$207,"&gt;="&amp;C$5,'Receipts Build'!$N$103:$N$207,"&lt;="&amp;C$6)+SUMIFS('Receipts Build'!$O$212:$O$215,'Receipts Build'!$P$212:$P$215,$A15,'Receipts Build'!$N$212:$N$215,"&gt;="&amp;C$5,'Receipts Build'!$N$212:$N$215,"&lt;="&amp;C$6)</f>
        <v>0</v>
      </c>
      <c r="D15" s="39" t="n">
        <f aca="false">SUMIFS('Receipts Build'!$O$34:$O$98,'Receipts Build'!$P$34:$P$98,$A15,'Receipts Build'!$N$34:$N$98,"&gt;="&amp;D$5,'Receipts Build'!$N$34:$N$98,"&lt;="&amp;D$6)+SUMIFS('Receipts Build'!$O$103:$O$207,'Receipts Build'!$P$103:$P$207,$A15,'Receipts Build'!$N$103:$N$207,"&gt;="&amp;D$5,'Receipts Build'!$N$103:$N$207,"&lt;="&amp;D$6)+SUMIFS('Receipts Build'!$O$212:$O$215,'Receipts Build'!$P$212:$P$215,$A15,'Receipts Build'!$N$212:$N$215,"&gt;="&amp;D$5,'Receipts Build'!$N$212:$N$215,"&lt;="&amp;D$6)</f>
        <v>7.4</v>
      </c>
      <c r="E15" s="39" t="n">
        <f aca="false">SUMIFS('Receipts Build'!$O$34:$O$98,'Receipts Build'!$P$34:$P$98,$A15,'Receipts Build'!$N$34:$N$98,"&gt;="&amp;E$5,'Receipts Build'!$N$34:$N$98,"&lt;="&amp;E$6)+SUMIFS('Receipts Build'!$O$103:$O$207,'Receipts Build'!$P$103:$P$207,$A15,'Receipts Build'!$N$103:$N$207,"&gt;="&amp;E$5,'Receipts Build'!$N$103:$N$207,"&lt;="&amp;E$6)+SUMIFS('Receipts Build'!$O$212:$O$215,'Receipts Build'!$P$212:$P$215,$A15,'Receipts Build'!$N$212:$N$215,"&gt;="&amp;E$5,'Receipts Build'!$N$212:$N$215,"&lt;="&amp;E$6)</f>
        <v>7.5</v>
      </c>
      <c r="F15" s="39" t="n">
        <f aca="false">SUMIFS('Receipts Build'!$O$34:$O$98,'Receipts Build'!$P$34:$P$98,$A15,'Receipts Build'!$N$34:$N$98,"&gt;="&amp;F$5,'Receipts Build'!$N$34:$N$98,"&lt;="&amp;F$6)+SUMIFS('Receipts Build'!$O$103:$O$207,'Receipts Build'!$P$103:$P$207,$A15,'Receipts Build'!$N$103:$N$207,"&gt;="&amp;F$5,'Receipts Build'!$N$103:$N$207,"&lt;="&amp;F$6)+SUMIFS('Receipts Build'!$O$212:$O$215,'Receipts Build'!$P$212:$P$215,$A15,'Receipts Build'!$N$212:$N$215,"&gt;="&amp;F$5,'Receipts Build'!$N$212:$N$215,"&lt;="&amp;F$6)</f>
        <v>1.5</v>
      </c>
      <c r="G15" s="39" t="n">
        <f aca="false">SUMIFS('Receipts Build'!$O$34:$O$98,'Receipts Build'!$P$34:$P$98,$A15,'Receipts Build'!$N$34:$N$98,"&gt;="&amp;G$5,'Receipts Build'!$N$34:$N$98,"&lt;="&amp;G$6)+SUMIFS('Receipts Build'!$O$103:$O$207,'Receipts Build'!$P$103:$P$207,$A15,'Receipts Build'!$N$103:$N$207,"&gt;="&amp;G$5,'Receipts Build'!$N$103:$N$207,"&lt;="&amp;G$6)+SUMIFS('Receipts Build'!$O$212:$O$215,'Receipts Build'!$P$212:$P$215,$A15,'Receipts Build'!$N$212:$N$215,"&gt;="&amp;G$5,'Receipts Build'!$N$212:$N$215,"&lt;="&amp;G$6)</f>
        <v>1.5</v>
      </c>
      <c r="H15" s="39" t="n">
        <f aca="false">SUMIFS('Receipts Build'!$O$34:$O$98,'Receipts Build'!$P$34:$P$98,$A15,'Receipts Build'!$N$34:$N$98,"&gt;="&amp;H$5,'Receipts Build'!$N$34:$N$98,"&lt;="&amp;H$6)+SUMIFS('Receipts Build'!$O$103:$O$207,'Receipts Build'!$P$103:$P$207,$A15,'Receipts Build'!$N$103:$N$207,"&gt;="&amp;H$5,'Receipts Build'!$N$103:$N$207,"&lt;="&amp;H$6)+SUMIFS('Receipts Build'!$O$212:$O$215,'Receipts Build'!$P$212:$P$215,$A15,'Receipts Build'!$N$212:$N$215,"&gt;="&amp;H$5,'Receipts Build'!$N$212:$N$215,"&lt;="&amp;H$6)</f>
        <v>6.3</v>
      </c>
      <c r="I15" s="39" t="n">
        <f aca="false">SUMIFS('Receipts Build'!$O$34:$O$98,'Receipts Build'!$P$34:$P$98,$A15,'Receipts Build'!$N$34:$N$98,"&gt;="&amp;I$5,'Receipts Build'!$N$34:$N$98,"&lt;="&amp;I$6)+SUMIFS('Receipts Build'!$O$103:$O$207,'Receipts Build'!$P$103:$P$207,$A15,'Receipts Build'!$N$103:$N$207,"&gt;="&amp;I$5,'Receipts Build'!$N$103:$N$207,"&lt;="&amp;I$6)+SUMIFS('Receipts Build'!$O$212:$O$215,'Receipts Build'!$P$212:$P$215,$A15,'Receipts Build'!$N$212:$N$215,"&gt;="&amp;I$5,'Receipts Build'!$N$212:$N$215,"&lt;="&amp;I$6)</f>
        <v>7.7</v>
      </c>
      <c r="J15" s="39" t="n">
        <f aca="false">SUMIFS('Receipts Build'!$O$34:$O$98,'Receipts Build'!$P$34:$P$98,$A15,'Receipts Build'!$N$34:$N$98,"&gt;="&amp;J$5,'Receipts Build'!$N$34:$N$98,"&lt;="&amp;J$6)+SUMIFS('Receipts Build'!$O$103:$O$207,'Receipts Build'!$P$103:$P$207,$A15,'Receipts Build'!$N$103:$N$207,"&gt;="&amp;J$5,'Receipts Build'!$N$103:$N$207,"&lt;="&amp;J$6)+SUMIFS('Receipts Build'!$O$212:$O$215,'Receipts Build'!$P$212:$P$215,$A15,'Receipts Build'!$N$212:$N$215,"&gt;="&amp;J$5,'Receipts Build'!$N$212:$N$215,"&lt;="&amp;J$6)</f>
        <v>188.1</v>
      </c>
      <c r="K15" s="39" t="n">
        <f aca="false">SUMIFS('Receipts Build'!$O$34:$O$98,'Receipts Build'!$P$34:$P$98,$A15,'Receipts Build'!$N$34:$N$98,"&gt;="&amp;K$5,'Receipts Build'!$N$34:$N$98,"&lt;="&amp;K$6)+SUMIFS('Receipts Build'!$O$103:$O$207,'Receipts Build'!$P$103:$P$207,$A15,'Receipts Build'!$N$103:$N$207,"&gt;="&amp;K$5,'Receipts Build'!$N$103:$N$207,"&lt;="&amp;K$6)+SUMIFS('Receipts Build'!$O$212:$O$215,'Receipts Build'!$P$212:$P$215,$A15,'Receipts Build'!$N$212:$N$215,"&gt;="&amp;K$5,'Receipts Build'!$N$212:$N$215,"&lt;="&amp;K$6)</f>
        <v>8.1</v>
      </c>
      <c r="L15" s="39" t="n">
        <f aca="false">SUMIFS('Receipts Build'!$O$34:$O$98,'Receipts Build'!$P$34:$P$98,$A15,'Receipts Build'!$N$34:$N$98,"&gt;="&amp;L$5,'Receipts Build'!$N$34:$N$98,"&lt;="&amp;L$6)+SUMIFS('Receipts Build'!$O$103:$O$207,'Receipts Build'!$P$103:$P$207,$A15,'Receipts Build'!$N$103:$N$207,"&gt;="&amp;L$5,'Receipts Build'!$N$103:$N$207,"&lt;="&amp;L$6)+SUMIFS('Receipts Build'!$O$212:$O$215,'Receipts Build'!$P$212:$P$215,$A15,'Receipts Build'!$N$212:$N$215,"&gt;="&amp;L$5,'Receipts Build'!$N$212:$N$215,"&lt;="&amp;L$6)</f>
        <v>8</v>
      </c>
      <c r="M15" s="39" t="n">
        <f aca="false">SUMIFS('Receipts Build'!$O$34:$O$98,'Receipts Build'!$P$34:$P$98,$A15,'Receipts Build'!$N$34:$N$98,"&gt;="&amp;M$5,'Receipts Build'!$N$34:$N$98,"&lt;="&amp;M$6)+SUMIFS('Receipts Build'!$O$103:$O$207,'Receipts Build'!$P$103:$P$207,$A15,'Receipts Build'!$N$103:$N$207,"&gt;="&amp;M$5,'Receipts Build'!$N$103:$N$207,"&lt;="&amp;M$6)+SUMIFS('Receipts Build'!$O$212:$O$215,'Receipts Build'!$P$212:$P$215,$A15,'Receipts Build'!$N$212:$N$215,"&gt;="&amp;M$5,'Receipts Build'!$N$212:$N$215,"&lt;="&amp;M$6)</f>
        <v>7.7</v>
      </c>
      <c r="N15" s="39" t="n">
        <f aca="false">SUMIFS('Receipts Build'!$O$34:$O$98,'Receipts Build'!$P$34:$P$98,$A15,'Receipts Build'!$N$34:$N$98,"&gt;="&amp;N$5,'Receipts Build'!$N$34:$N$98,"&lt;="&amp;N$6)+SUMIFS('Receipts Build'!$O$103:$O$207,'Receipts Build'!$P$103:$P$207,$A15,'Receipts Build'!$N$103:$N$207,"&gt;="&amp;N$5,'Receipts Build'!$N$103:$N$207,"&lt;="&amp;N$6)+SUMIFS('Receipts Build'!$O$212:$O$215,'Receipts Build'!$P$212:$P$215,$A15,'Receipts Build'!$N$212:$N$215,"&gt;="&amp;N$5,'Receipts Build'!$N$212:$N$215,"&lt;="&amp;N$6)</f>
        <v>7.7</v>
      </c>
      <c r="O15" s="40" t="n">
        <f aca="false">SUM(B15:N15)</f>
        <v>251.5</v>
      </c>
    </row>
    <row r="16" customFormat="false" ht="13.5" hidden="false" customHeight="true" outlineLevel="0" collapsed="false">
      <c r="A16" s="38" t="s">
        <v>115</v>
      </c>
      <c r="B16" s="39" t="n">
        <f aca="false">SUMIFS('Receipts Build'!$O$34:$O$98,'Receipts Build'!$P$34:$P$98,$A16,'Receipts Build'!$N$34:$N$98,"&gt;="&amp;B$5,'Receipts Build'!$N$34:$N$98,"&lt;="&amp;B$6)+SUMIFS('Receipts Build'!$O$103:$O$207,'Receipts Build'!$P$103:$P$207,$A16,'Receipts Build'!$N$103:$N$207,"&gt;="&amp;B$5,'Receipts Build'!$N$103:$N$207,"&lt;="&amp;B$6)+SUMIFS('Receipts Build'!$O$212:$O$215,'Receipts Build'!$P$212:$P$215,$A16,'Receipts Build'!$N$212:$N$215,"&gt;="&amp;B$5,'Receipts Build'!$N$212:$N$215,"&lt;="&amp;B$6)</f>
        <v>0</v>
      </c>
      <c r="C16" s="39" t="n">
        <f aca="false">SUMIFS('Receipts Build'!$O$34:$O$98,'Receipts Build'!$P$34:$P$98,$A16,'Receipts Build'!$N$34:$N$98,"&gt;="&amp;C$5,'Receipts Build'!$N$34:$N$98,"&lt;="&amp;C$6)+SUMIFS('Receipts Build'!$O$103:$O$207,'Receipts Build'!$P$103:$P$207,$A16,'Receipts Build'!$N$103:$N$207,"&gt;="&amp;C$5,'Receipts Build'!$N$103:$N$207,"&lt;="&amp;C$6)+SUMIFS('Receipts Build'!$O$212:$O$215,'Receipts Build'!$P$212:$P$215,$A16,'Receipts Build'!$N$212:$N$215,"&gt;="&amp;C$5,'Receipts Build'!$N$212:$N$215,"&lt;="&amp;C$6)</f>
        <v>0</v>
      </c>
      <c r="D16" s="39" t="n">
        <f aca="false">SUMIFS('Receipts Build'!$O$34:$O$98,'Receipts Build'!$P$34:$P$98,$A16,'Receipts Build'!$N$34:$N$98,"&gt;="&amp;D$5,'Receipts Build'!$N$34:$N$98,"&lt;="&amp;D$6)+SUMIFS('Receipts Build'!$O$103:$O$207,'Receipts Build'!$P$103:$P$207,$A16,'Receipts Build'!$N$103:$N$207,"&gt;="&amp;D$5,'Receipts Build'!$N$103:$N$207,"&lt;="&amp;D$6)+SUMIFS('Receipts Build'!$O$212:$O$215,'Receipts Build'!$P$212:$P$215,$A16,'Receipts Build'!$N$212:$N$215,"&gt;="&amp;D$5,'Receipts Build'!$N$212:$N$215,"&lt;="&amp;D$6)</f>
        <v>0</v>
      </c>
      <c r="E16" s="39" t="n">
        <f aca="false">SUMIFS('Receipts Build'!$O$34:$O$98,'Receipts Build'!$P$34:$P$98,$A16,'Receipts Build'!$N$34:$N$98,"&gt;="&amp;E$5,'Receipts Build'!$N$34:$N$98,"&lt;="&amp;E$6)+SUMIFS('Receipts Build'!$O$103:$O$207,'Receipts Build'!$P$103:$P$207,$A16,'Receipts Build'!$N$103:$N$207,"&gt;="&amp;E$5,'Receipts Build'!$N$103:$N$207,"&lt;="&amp;E$6)+SUMIFS('Receipts Build'!$O$212:$O$215,'Receipts Build'!$P$212:$P$215,$A16,'Receipts Build'!$N$212:$N$215,"&gt;="&amp;E$5,'Receipts Build'!$N$212:$N$215,"&lt;="&amp;E$6)</f>
        <v>169.3</v>
      </c>
      <c r="F16" s="39" t="n">
        <f aca="false">SUMIFS('Receipts Build'!$O$34:$O$98,'Receipts Build'!$P$34:$P$98,$A16,'Receipts Build'!$N$34:$N$98,"&gt;="&amp;F$5,'Receipts Build'!$N$34:$N$98,"&lt;="&amp;F$6)+SUMIFS('Receipts Build'!$O$103:$O$207,'Receipts Build'!$P$103:$P$207,$A16,'Receipts Build'!$N$103:$N$207,"&gt;="&amp;F$5,'Receipts Build'!$N$103:$N$207,"&lt;="&amp;F$6)+SUMIFS('Receipts Build'!$O$212:$O$215,'Receipts Build'!$P$212:$P$215,$A16,'Receipts Build'!$N$212:$N$215,"&gt;="&amp;F$5,'Receipts Build'!$N$212:$N$215,"&lt;="&amp;F$6)</f>
        <v>0</v>
      </c>
      <c r="G16" s="39" t="n">
        <f aca="false">SUMIFS('Receipts Build'!$O$34:$O$98,'Receipts Build'!$P$34:$P$98,$A16,'Receipts Build'!$N$34:$N$98,"&gt;="&amp;G$5,'Receipts Build'!$N$34:$N$98,"&lt;="&amp;G$6)+SUMIFS('Receipts Build'!$O$103:$O$207,'Receipts Build'!$P$103:$P$207,$A16,'Receipts Build'!$N$103:$N$207,"&gt;="&amp;G$5,'Receipts Build'!$N$103:$N$207,"&lt;="&amp;G$6)+SUMIFS('Receipts Build'!$O$212:$O$215,'Receipts Build'!$P$212:$P$215,$A16,'Receipts Build'!$N$212:$N$215,"&gt;="&amp;G$5,'Receipts Build'!$N$212:$N$215,"&lt;="&amp;G$6)</f>
        <v>0</v>
      </c>
      <c r="H16" s="39" t="n">
        <f aca="false">SUMIFS('Receipts Build'!$O$34:$O$98,'Receipts Build'!$P$34:$P$98,$A16,'Receipts Build'!$N$34:$N$98,"&gt;="&amp;H$5,'Receipts Build'!$N$34:$N$98,"&lt;="&amp;H$6)+SUMIFS('Receipts Build'!$O$103:$O$207,'Receipts Build'!$P$103:$P$207,$A16,'Receipts Build'!$N$103:$N$207,"&gt;="&amp;H$5,'Receipts Build'!$N$103:$N$207,"&lt;="&amp;H$6)+SUMIFS('Receipts Build'!$O$212:$O$215,'Receipts Build'!$P$212:$P$215,$A16,'Receipts Build'!$N$212:$N$215,"&gt;="&amp;H$5,'Receipts Build'!$N$212:$N$215,"&lt;="&amp;H$6)</f>
        <v>0</v>
      </c>
      <c r="I16" s="39" t="n">
        <f aca="false">SUMIFS('Receipts Build'!$O$34:$O$98,'Receipts Build'!$P$34:$P$98,$A16,'Receipts Build'!$N$34:$N$98,"&gt;="&amp;I$5,'Receipts Build'!$N$34:$N$98,"&lt;="&amp;I$6)+SUMIFS('Receipts Build'!$O$103:$O$207,'Receipts Build'!$P$103:$P$207,$A16,'Receipts Build'!$N$103:$N$207,"&gt;="&amp;I$5,'Receipts Build'!$N$103:$N$207,"&lt;="&amp;I$6)+SUMIFS('Receipts Build'!$O$212:$O$215,'Receipts Build'!$P$212:$P$215,$A16,'Receipts Build'!$N$212:$N$215,"&gt;="&amp;I$5,'Receipts Build'!$N$212:$N$215,"&lt;="&amp;I$6)</f>
        <v>172.3</v>
      </c>
      <c r="J16" s="39" t="n">
        <f aca="false">SUMIFS('Receipts Build'!$O$34:$O$98,'Receipts Build'!$P$34:$P$98,$A16,'Receipts Build'!$N$34:$N$98,"&gt;="&amp;J$5,'Receipts Build'!$N$34:$N$98,"&lt;="&amp;J$6)+SUMIFS('Receipts Build'!$O$103:$O$207,'Receipts Build'!$P$103:$P$207,$A16,'Receipts Build'!$N$103:$N$207,"&gt;="&amp;J$5,'Receipts Build'!$N$103:$N$207,"&lt;="&amp;J$6)+SUMIFS('Receipts Build'!$O$212:$O$215,'Receipts Build'!$P$212:$P$215,$A16,'Receipts Build'!$N$212:$N$215,"&gt;="&amp;J$5,'Receipts Build'!$N$212:$N$215,"&lt;="&amp;J$6)</f>
        <v>0</v>
      </c>
      <c r="K16" s="39" t="n">
        <f aca="false">SUMIFS('Receipts Build'!$O$34:$O$98,'Receipts Build'!$P$34:$P$98,$A16,'Receipts Build'!$N$34:$N$98,"&gt;="&amp;K$5,'Receipts Build'!$N$34:$N$98,"&lt;="&amp;K$6)+SUMIFS('Receipts Build'!$O$103:$O$207,'Receipts Build'!$P$103:$P$207,$A16,'Receipts Build'!$N$103:$N$207,"&gt;="&amp;K$5,'Receipts Build'!$N$103:$N$207,"&lt;="&amp;K$6)+SUMIFS('Receipts Build'!$O$212:$O$215,'Receipts Build'!$P$212:$P$215,$A16,'Receipts Build'!$N$212:$N$215,"&gt;="&amp;K$5,'Receipts Build'!$N$212:$N$215,"&lt;="&amp;K$6)</f>
        <v>0</v>
      </c>
      <c r="L16" s="39" t="n">
        <f aca="false">SUMIFS('Receipts Build'!$O$34:$O$98,'Receipts Build'!$P$34:$P$98,$A16,'Receipts Build'!$N$34:$N$98,"&gt;="&amp;L$5,'Receipts Build'!$N$34:$N$98,"&lt;="&amp;L$6)+SUMIFS('Receipts Build'!$O$103:$O$207,'Receipts Build'!$P$103:$P$207,$A16,'Receipts Build'!$N$103:$N$207,"&gt;="&amp;L$5,'Receipts Build'!$N$103:$N$207,"&lt;="&amp;L$6)+SUMIFS('Receipts Build'!$O$212:$O$215,'Receipts Build'!$P$212:$P$215,$A16,'Receipts Build'!$N$212:$N$215,"&gt;="&amp;L$5,'Receipts Build'!$N$212:$N$215,"&lt;="&amp;L$6)</f>
        <v>0</v>
      </c>
      <c r="M16" s="39" t="n">
        <f aca="false">SUMIFS('Receipts Build'!$O$34:$O$98,'Receipts Build'!$P$34:$P$98,$A16,'Receipts Build'!$N$34:$N$98,"&gt;="&amp;M$5,'Receipts Build'!$N$34:$N$98,"&lt;="&amp;M$6)+SUMIFS('Receipts Build'!$O$103:$O$207,'Receipts Build'!$P$103:$P$207,$A16,'Receipts Build'!$N$103:$N$207,"&gt;="&amp;M$5,'Receipts Build'!$N$103:$N$207,"&lt;="&amp;M$6)+SUMIFS('Receipts Build'!$O$212:$O$215,'Receipts Build'!$P$212:$P$215,$A16,'Receipts Build'!$N$212:$N$215,"&gt;="&amp;M$5,'Receipts Build'!$N$212:$N$215,"&lt;="&amp;M$6)</f>
        <v>0</v>
      </c>
      <c r="N16" s="39" t="n">
        <f aca="false">SUMIFS('Receipts Build'!$O$34:$O$98,'Receipts Build'!$P$34:$P$98,$A16,'Receipts Build'!$N$34:$N$98,"&gt;="&amp;N$5,'Receipts Build'!$N$34:$N$98,"&lt;="&amp;N$6)+SUMIFS('Receipts Build'!$O$103:$O$207,'Receipts Build'!$P$103:$P$207,$A16,'Receipts Build'!$N$103:$N$207,"&gt;="&amp;N$5,'Receipts Build'!$N$103:$N$207,"&lt;="&amp;N$6)+SUMIFS('Receipts Build'!$O$212:$O$215,'Receipts Build'!$P$212:$P$215,$A16,'Receipts Build'!$N$212:$N$215,"&gt;="&amp;N$5,'Receipts Build'!$N$212:$N$215,"&lt;="&amp;N$6)</f>
        <v>160.3</v>
      </c>
      <c r="O16" s="40" t="n">
        <f aca="false">SUM(B16:N16)</f>
        <v>501.9</v>
      </c>
    </row>
    <row r="17" customFormat="false" ht="13.5" hidden="false" customHeight="true" outlineLevel="0" collapsed="false">
      <c r="A17" s="38" t="s">
        <v>116</v>
      </c>
      <c r="B17" s="39" t="n">
        <f aca="false">SUMIFS('Receipts Build'!$O$34:$O$98,'Receipts Build'!$P$34:$P$98,$A17,'Receipts Build'!$N$34:$N$98,"&gt;="&amp;B$5,'Receipts Build'!$N$34:$N$98,"&lt;="&amp;B$6)+SUMIFS('Receipts Build'!$O$103:$O$207,'Receipts Build'!$P$103:$P$207,$A17,'Receipts Build'!$N$103:$N$207,"&gt;="&amp;B$5,'Receipts Build'!$N$103:$N$207,"&lt;="&amp;B$6)+SUMIFS('Receipts Build'!$O$212:$O$215,'Receipts Build'!$P$212:$P$215,$A17,'Receipts Build'!$N$212:$N$215,"&gt;="&amp;B$5,'Receipts Build'!$N$212:$N$215,"&lt;="&amp;B$6)</f>
        <v>0</v>
      </c>
      <c r="C17" s="39" t="n">
        <f aca="false">SUMIFS('Receipts Build'!$O$34:$O$98,'Receipts Build'!$P$34:$P$98,$A17,'Receipts Build'!$N$34:$N$98,"&gt;="&amp;C$5,'Receipts Build'!$N$34:$N$98,"&lt;="&amp;C$6)+SUMIFS('Receipts Build'!$O$103:$O$207,'Receipts Build'!$P$103:$P$207,$A17,'Receipts Build'!$N$103:$N$207,"&gt;="&amp;C$5,'Receipts Build'!$N$103:$N$207,"&lt;="&amp;C$6)+SUMIFS('Receipts Build'!$O$212:$O$215,'Receipts Build'!$P$212:$P$215,$A17,'Receipts Build'!$N$212:$N$215,"&gt;="&amp;C$5,'Receipts Build'!$N$212:$N$215,"&lt;="&amp;C$6)</f>
        <v>0</v>
      </c>
      <c r="D17" s="39" t="n">
        <f aca="false">SUMIFS('Receipts Build'!$O$34:$O$98,'Receipts Build'!$P$34:$P$98,$A17,'Receipts Build'!$N$34:$N$98,"&gt;="&amp;D$5,'Receipts Build'!$N$34:$N$98,"&lt;="&amp;D$6)+SUMIFS('Receipts Build'!$O$103:$O$207,'Receipts Build'!$P$103:$P$207,$A17,'Receipts Build'!$N$103:$N$207,"&gt;="&amp;D$5,'Receipts Build'!$N$103:$N$207,"&lt;="&amp;D$6)+SUMIFS('Receipts Build'!$O$212:$O$215,'Receipts Build'!$P$212:$P$215,$A17,'Receipts Build'!$N$212:$N$215,"&gt;="&amp;D$5,'Receipts Build'!$N$212:$N$215,"&lt;="&amp;D$6)</f>
        <v>0</v>
      </c>
      <c r="E17" s="39" t="n">
        <f aca="false">SUMIFS('Receipts Build'!$O$34:$O$98,'Receipts Build'!$P$34:$P$98,$A17,'Receipts Build'!$N$34:$N$98,"&gt;="&amp;E$5,'Receipts Build'!$N$34:$N$98,"&lt;="&amp;E$6)+SUMIFS('Receipts Build'!$O$103:$O$207,'Receipts Build'!$P$103:$P$207,$A17,'Receipts Build'!$N$103:$N$207,"&gt;="&amp;E$5,'Receipts Build'!$N$103:$N$207,"&lt;="&amp;E$6)+SUMIFS('Receipts Build'!$O$212:$O$215,'Receipts Build'!$P$212:$P$215,$A17,'Receipts Build'!$N$212:$N$215,"&gt;="&amp;E$5,'Receipts Build'!$N$212:$N$215,"&lt;="&amp;E$6)</f>
        <v>0</v>
      </c>
      <c r="F17" s="39" t="n">
        <f aca="false">SUMIFS('Receipts Build'!$O$34:$O$98,'Receipts Build'!$P$34:$P$98,$A17,'Receipts Build'!$N$34:$N$98,"&gt;="&amp;F$5,'Receipts Build'!$N$34:$N$98,"&lt;="&amp;F$6)+SUMIFS('Receipts Build'!$O$103:$O$207,'Receipts Build'!$P$103:$P$207,$A17,'Receipts Build'!$N$103:$N$207,"&gt;="&amp;F$5,'Receipts Build'!$N$103:$N$207,"&lt;="&amp;F$6)+SUMIFS('Receipts Build'!$O$212:$O$215,'Receipts Build'!$P$212:$P$215,$A17,'Receipts Build'!$N$212:$N$215,"&gt;="&amp;F$5,'Receipts Build'!$N$212:$N$215,"&lt;="&amp;F$6)</f>
        <v>0</v>
      </c>
      <c r="G17" s="39" t="n">
        <f aca="false">SUMIFS('Receipts Build'!$O$34:$O$98,'Receipts Build'!$P$34:$P$98,$A17,'Receipts Build'!$N$34:$N$98,"&gt;="&amp;G$5,'Receipts Build'!$N$34:$N$98,"&lt;="&amp;G$6)+SUMIFS('Receipts Build'!$O$103:$O$207,'Receipts Build'!$P$103:$P$207,$A17,'Receipts Build'!$N$103:$N$207,"&gt;="&amp;G$5,'Receipts Build'!$N$103:$N$207,"&lt;="&amp;G$6)+SUMIFS('Receipts Build'!$O$212:$O$215,'Receipts Build'!$P$212:$P$215,$A17,'Receipts Build'!$N$212:$N$215,"&gt;="&amp;G$5,'Receipts Build'!$N$212:$N$215,"&lt;="&amp;G$6)</f>
        <v>0</v>
      </c>
      <c r="H17" s="39" t="n">
        <f aca="false">SUMIFS('Receipts Build'!$O$34:$O$98,'Receipts Build'!$P$34:$P$98,$A17,'Receipts Build'!$N$34:$N$98,"&gt;="&amp;H$5,'Receipts Build'!$N$34:$N$98,"&lt;="&amp;H$6)+SUMIFS('Receipts Build'!$O$103:$O$207,'Receipts Build'!$P$103:$P$207,$A17,'Receipts Build'!$N$103:$N$207,"&gt;="&amp;H$5,'Receipts Build'!$N$103:$N$207,"&lt;="&amp;H$6)+SUMIFS('Receipts Build'!$O$212:$O$215,'Receipts Build'!$P$212:$P$215,$A17,'Receipts Build'!$N$212:$N$215,"&gt;="&amp;H$5,'Receipts Build'!$N$212:$N$215,"&lt;="&amp;H$6)</f>
        <v>0</v>
      </c>
      <c r="I17" s="39" t="n">
        <f aca="false">SUMIFS('Receipts Build'!$O$34:$O$98,'Receipts Build'!$P$34:$P$98,$A17,'Receipts Build'!$N$34:$N$98,"&gt;="&amp;I$5,'Receipts Build'!$N$34:$N$98,"&lt;="&amp;I$6)+SUMIFS('Receipts Build'!$O$103:$O$207,'Receipts Build'!$P$103:$P$207,$A17,'Receipts Build'!$N$103:$N$207,"&gt;="&amp;I$5,'Receipts Build'!$N$103:$N$207,"&lt;="&amp;I$6)+SUMIFS('Receipts Build'!$O$212:$O$215,'Receipts Build'!$P$212:$P$215,$A17,'Receipts Build'!$N$212:$N$215,"&gt;="&amp;I$5,'Receipts Build'!$N$212:$N$215,"&lt;="&amp;I$6)</f>
        <v>0</v>
      </c>
      <c r="J17" s="39" t="n">
        <f aca="false">SUMIFS('Receipts Build'!$O$34:$O$98,'Receipts Build'!$P$34:$P$98,$A17,'Receipts Build'!$N$34:$N$98,"&gt;="&amp;J$5,'Receipts Build'!$N$34:$N$98,"&lt;="&amp;J$6)+SUMIFS('Receipts Build'!$O$103:$O$207,'Receipts Build'!$P$103:$P$207,$A17,'Receipts Build'!$N$103:$N$207,"&gt;="&amp;J$5,'Receipts Build'!$N$103:$N$207,"&lt;="&amp;J$6)+SUMIFS('Receipts Build'!$O$212:$O$215,'Receipts Build'!$P$212:$P$215,$A17,'Receipts Build'!$N$212:$N$215,"&gt;="&amp;J$5,'Receipts Build'!$N$212:$N$215,"&lt;="&amp;J$6)</f>
        <v>0</v>
      </c>
      <c r="K17" s="39" t="n">
        <f aca="false">SUMIFS('Receipts Build'!$O$34:$O$98,'Receipts Build'!$P$34:$P$98,$A17,'Receipts Build'!$N$34:$N$98,"&gt;="&amp;K$5,'Receipts Build'!$N$34:$N$98,"&lt;="&amp;K$6)+SUMIFS('Receipts Build'!$O$103:$O$207,'Receipts Build'!$P$103:$P$207,$A17,'Receipts Build'!$N$103:$N$207,"&gt;="&amp;K$5,'Receipts Build'!$N$103:$N$207,"&lt;="&amp;K$6)+SUMIFS('Receipts Build'!$O$212:$O$215,'Receipts Build'!$P$212:$P$215,$A17,'Receipts Build'!$N$212:$N$215,"&gt;="&amp;K$5,'Receipts Build'!$N$212:$N$215,"&lt;="&amp;K$6)</f>
        <v>0</v>
      </c>
      <c r="L17" s="39" t="n">
        <f aca="false">SUMIFS('Receipts Build'!$O$34:$O$98,'Receipts Build'!$P$34:$P$98,$A17,'Receipts Build'!$N$34:$N$98,"&gt;="&amp;L$5,'Receipts Build'!$N$34:$N$98,"&lt;="&amp;L$6)+SUMIFS('Receipts Build'!$O$103:$O$207,'Receipts Build'!$P$103:$P$207,$A17,'Receipts Build'!$N$103:$N$207,"&gt;="&amp;L$5,'Receipts Build'!$N$103:$N$207,"&lt;="&amp;L$6)+SUMIFS('Receipts Build'!$O$212:$O$215,'Receipts Build'!$P$212:$P$215,$A17,'Receipts Build'!$N$212:$N$215,"&gt;="&amp;L$5,'Receipts Build'!$N$212:$N$215,"&lt;="&amp;L$6)</f>
        <v>0</v>
      </c>
      <c r="M17" s="39" t="n">
        <f aca="false">SUMIFS('Receipts Build'!$O$34:$O$98,'Receipts Build'!$P$34:$P$98,$A17,'Receipts Build'!$N$34:$N$98,"&gt;="&amp;M$5,'Receipts Build'!$N$34:$N$98,"&lt;="&amp;M$6)+SUMIFS('Receipts Build'!$O$103:$O$207,'Receipts Build'!$P$103:$P$207,$A17,'Receipts Build'!$N$103:$N$207,"&gt;="&amp;M$5,'Receipts Build'!$N$103:$N$207,"&lt;="&amp;M$6)+SUMIFS('Receipts Build'!$O$212:$O$215,'Receipts Build'!$P$212:$P$215,$A17,'Receipts Build'!$N$212:$N$215,"&gt;="&amp;M$5,'Receipts Build'!$N$212:$N$215,"&lt;="&amp;M$6)</f>
        <v>0</v>
      </c>
      <c r="N17" s="39" t="n">
        <f aca="false">SUMIFS('Receipts Build'!$O$34:$O$98,'Receipts Build'!$P$34:$P$98,$A17,'Receipts Build'!$N$34:$N$98,"&gt;="&amp;N$5,'Receipts Build'!$N$34:$N$98,"&lt;="&amp;N$6)+SUMIFS('Receipts Build'!$O$103:$O$207,'Receipts Build'!$P$103:$P$207,$A17,'Receipts Build'!$N$103:$N$207,"&gt;="&amp;N$5,'Receipts Build'!$N$103:$N$207,"&lt;="&amp;N$6)+SUMIFS('Receipts Build'!$O$212:$O$215,'Receipts Build'!$P$212:$P$215,$A17,'Receipts Build'!$N$212:$N$215,"&gt;="&amp;N$5,'Receipts Build'!$N$212:$N$215,"&lt;="&amp;N$6)</f>
        <v>0</v>
      </c>
      <c r="O17" s="40" t="n">
        <f aca="false">SUM(B17:N17)</f>
        <v>0</v>
      </c>
    </row>
    <row r="18" customFormat="false" ht="13.5" hidden="false" customHeight="true" outlineLevel="0" collapsed="false">
      <c r="A18" s="41" t="s">
        <v>117</v>
      </c>
      <c r="B18" s="42" t="n">
        <f aca="false">SUM(B12:B17)</f>
        <v>703.1</v>
      </c>
      <c r="C18" s="42" t="n">
        <f aca="false">SUM(C12:C17)</f>
        <v>689.4</v>
      </c>
      <c r="D18" s="42" t="n">
        <f aca="false">SUM(D12:D17)</f>
        <v>684.5</v>
      </c>
      <c r="E18" s="42" t="n">
        <f aca="false">SUM(E12:E17)</f>
        <v>879.5</v>
      </c>
      <c r="F18" s="42" t="n">
        <f aca="false">SUM(F12:F17)</f>
        <v>664.1</v>
      </c>
      <c r="G18" s="42" t="n">
        <f aca="false">SUM(G12:G17)</f>
        <v>683.1</v>
      </c>
      <c r="H18" s="42" t="n">
        <f aca="false">SUM(H12:H17)</f>
        <v>652.6</v>
      </c>
      <c r="I18" s="42" t="n">
        <f aca="false">SUM(I12:I17)</f>
        <v>597.3</v>
      </c>
      <c r="J18" s="42" t="n">
        <f aca="false">SUM(J12:J17)</f>
        <v>575.1</v>
      </c>
      <c r="K18" s="42" t="n">
        <f aca="false">SUM(K12:K17)</f>
        <v>372.2</v>
      </c>
      <c r="L18" s="42" t="n">
        <f aca="false">SUM(L12:L17)</f>
        <v>643.9</v>
      </c>
      <c r="M18" s="42" t="n">
        <f aca="false">SUM(M12:M17)</f>
        <v>1367.7</v>
      </c>
      <c r="N18" s="42" t="n">
        <f aca="false">SUM(N12:N17)</f>
        <v>708.5</v>
      </c>
      <c r="O18" s="43" t="n">
        <f aca="false">SUM(B18:N18)</f>
        <v>9221</v>
      </c>
    </row>
    <row r="20" customFormat="false" ht="16.5" hidden="false" customHeight="true" outlineLevel="0" collapsed="false">
      <c r="A20" s="10" t="s">
        <v>118</v>
      </c>
      <c r="B20" s="10"/>
      <c r="C20" s="10"/>
      <c r="D20" s="10"/>
      <c r="E20" s="10"/>
      <c r="F20" s="10"/>
      <c r="G20" s="10"/>
      <c r="H20" s="10"/>
      <c r="I20" s="10"/>
      <c r="J20" s="10"/>
      <c r="K20" s="10"/>
      <c r="L20" s="10"/>
      <c r="M20" s="10"/>
      <c r="N20" s="10"/>
      <c r="O20" s="10"/>
    </row>
    <row r="21" customFormat="false" ht="13.5" hidden="false" customHeight="true" outlineLevel="0" collapsed="false">
      <c r="A21" s="38" t="s">
        <v>119</v>
      </c>
      <c r="B21" s="39" t="n">
        <f aca="false">-(SUMIFS('Payments Build'!$M$34:$M$72,'Payments Build'!$D$34:$D$72,$A21,'Payments Build'!$L$34:$L$72,"&gt;="&amp;B$5,'Payments Build'!$L$34:$L$72,"&lt;="&amp;B$6)+SUMIFS('Payments Build'!$M$77:$M$180,'Payments Build'!$D$77:$D$180,$A21,'Payments Build'!$L$77:$L$180,"&gt;="&amp;B$5,'Payments Build'!$L$77:$L$180,"&lt;="&amp;B$6)+SUMIFS('Payments Build'!$M$185:$M$210,'Payments Build'!$D$185:$D$210,$A21,'Payments Build'!$L$185:$L$210,"&gt;="&amp;B$5,'Payments Build'!$L$185:$L$210,"&lt;="&amp;B$6))</f>
        <v>-309</v>
      </c>
      <c r="C21" s="39" t="n">
        <f aca="false">-(SUMIFS('Payments Build'!$M$34:$M$72,'Payments Build'!$D$34:$D$72,$A21,'Payments Build'!$L$34:$L$72,"&gt;="&amp;C$5,'Payments Build'!$L$34:$L$72,"&lt;="&amp;C$6)+SUMIFS('Payments Build'!$M$77:$M$180,'Payments Build'!$D$77:$D$180,$A21,'Payments Build'!$L$77:$L$180,"&gt;="&amp;C$5,'Payments Build'!$L$77:$L$180,"&lt;="&amp;C$6)+SUMIFS('Payments Build'!$M$185:$M$210,'Payments Build'!$D$185:$D$210,$A21,'Payments Build'!$L$185:$L$210,"&gt;="&amp;C$5,'Payments Build'!$L$185:$L$210,"&lt;="&amp;C$6))</f>
        <v>-311.5</v>
      </c>
      <c r="D21" s="39" t="n">
        <f aca="false">-(SUMIFS('Payments Build'!$M$34:$M$72,'Payments Build'!$D$34:$D$72,$A21,'Payments Build'!$L$34:$L$72,"&gt;="&amp;D$5,'Payments Build'!$L$34:$L$72,"&lt;="&amp;D$6)+SUMIFS('Payments Build'!$M$77:$M$180,'Payments Build'!$D$77:$D$180,$A21,'Payments Build'!$L$77:$L$180,"&gt;="&amp;D$5,'Payments Build'!$L$77:$L$180,"&lt;="&amp;D$6)+SUMIFS('Payments Build'!$M$185:$M$210,'Payments Build'!$D$185:$D$210,$A21,'Payments Build'!$L$185:$L$210,"&gt;="&amp;D$5,'Payments Build'!$L$185:$L$210,"&lt;="&amp;D$6))</f>
        <v>-305.4</v>
      </c>
      <c r="E21" s="39" t="n">
        <f aca="false">-(SUMIFS('Payments Build'!$M$34:$M$72,'Payments Build'!$D$34:$D$72,$A21,'Payments Build'!$L$34:$L$72,"&gt;="&amp;E$5,'Payments Build'!$L$34:$L$72,"&lt;="&amp;E$6)+SUMIFS('Payments Build'!$M$77:$M$180,'Payments Build'!$D$77:$D$180,$A21,'Payments Build'!$L$77:$L$180,"&gt;="&amp;E$5,'Payments Build'!$L$77:$L$180,"&lt;="&amp;E$6)+SUMIFS('Payments Build'!$M$185:$M$210,'Payments Build'!$D$185:$D$210,$A21,'Payments Build'!$L$185:$L$210,"&gt;="&amp;E$5,'Payments Build'!$L$185:$L$210,"&lt;="&amp;E$6))</f>
        <v>-317.2</v>
      </c>
      <c r="F21" s="39" t="n">
        <f aca="false">-(SUMIFS('Payments Build'!$M$34:$M$72,'Payments Build'!$D$34:$D$72,$A21,'Payments Build'!$L$34:$L$72,"&gt;="&amp;F$5,'Payments Build'!$L$34:$L$72,"&lt;="&amp;F$6)+SUMIFS('Payments Build'!$M$77:$M$180,'Payments Build'!$D$77:$D$180,$A21,'Payments Build'!$L$77:$L$180,"&gt;="&amp;F$5,'Payments Build'!$L$77:$L$180,"&lt;="&amp;F$6)+SUMIFS('Payments Build'!$M$185:$M$210,'Payments Build'!$D$185:$D$210,$A21,'Payments Build'!$L$185:$L$210,"&gt;="&amp;F$5,'Payments Build'!$L$185:$L$210,"&lt;="&amp;F$6))</f>
        <v>-306</v>
      </c>
      <c r="G21" s="39" t="n">
        <f aca="false">-(SUMIFS('Payments Build'!$M$34:$M$72,'Payments Build'!$D$34:$D$72,$A21,'Payments Build'!$L$34:$L$72,"&gt;="&amp;G$5,'Payments Build'!$L$34:$L$72,"&lt;="&amp;G$6)+SUMIFS('Payments Build'!$M$77:$M$180,'Payments Build'!$D$77:$D$180,$A21,'Payments Build'!$L$77:$L$180,"&gt;="&amp;G$5,'Payments Build'!$L$77:$L$180,"&lt;="&amp;G$6)+SUMIFS('Payments Build'!$M$185:$M$210,'Payments Build'!$D$185:$D$210,$A21,'Payments Build'!$L$185:$L$210,"&gt;="&amp;G$5,'Payments Build'!$L$185:$L$210,"&lt;="&amp;G$6))</f>
        <v>-308.4</v>
      </c>
      <c r="H21" s="39" t="n">
        <f aca="false">-(SUMIFS('Payments Build'!$M$34:$M$72,'Payments Build'!$D$34:$D$72,$A21,'Payments Build'!$L$34:$L$72,"&gt;="&amp;H$5,'Payments Build'!$L$34:$L$72,"&lt;="&amp;H$6)+SUMIFS('Payments Build'!$M$77:$M$180,'Payments Build'!$D$77:$D$180,$A21,'Payments Build'!$L$77:$L$180,"&gt;="&amp;H$5,'Payments Build'!$L$77:$L$180,"&lt;="&amp;H$6)+SUMIFS('Payments Build'!$M$185:$M$210,'Payments Build'!$D$185:$D$210,$A21,'Payments Build'!$L$185:$L$210,"&gt;="&amp;H$5,'Payments Build'!$L$185:$L$210,"&lt;="&amp;H$6))</f>
        <v>-302.3</v>
      </c>
      <c r="I21" s="39" t="n">
        <f aca="false">-(SUMIFS('Payments Build'!$M$34:$M$72,'Payments Build'!$D$34:$D$72,$A21,'Payments Build'!$L$34:$L$72,"&gt;="&amp;I$5,'Payments Build'!$L$34:$L$72,"&lt;="&amp;I$6)+SUMIFS('Payments Build'!$M$77:$M$180,'Payments Build'!$D$77:$D$180,$A21,'Payments Build'!$L$77:$L$180,"&gt;="&amp;I$5,'Payments Build'!$L$77:$L$180,"&lt;="&amp;I$6)+SUMIFS('Payments Build'!$M$185:$M$210,'Payments Build'!$D$185:$D$210,$A21,'Payments Build'!$L$185:$L$210,"&gt;="&amp;I$5,'Payments Build'!$L$185:$L$210,"&lt;="&amp;I$6))</f>
        <v>-307.8</v>
      </c>
      <c r="J21" s="39" t="n">
        <f aca="false">-(SUMIFS('Payments Build'!$M$34:$M$72,'Payments Build'!$D$34:$D$72,$A21,'Payments Build'!$L$34:$L$72,"&gt;="&amp;J$5,'Payments Build'!$L$34:$L$72,"&lt;="&amp;J$6)+SUMIFS('Payments Build'!$M$77:$M$180,'Payments Build'!$D$77:$D$180,$A21,'Payments Build'!$L$77:$L$180,"&gt;="&amp;J$5,'Payments Build'!$L$77:$L$180,"&lt;="&amp;J$6)+SUMIFS('Payments Build'!$M$185:$M$210,'Payments Build'!$D$185:$D$210,$A21,'Payments Build'!$L$185:$L$210,"&gt;="&amp;J$5,'Payments Build'!$L$185:$L$210,"&lt;="&amp;J$6))</f>
        <v>-312.8</v>
      </c>
      <c r="K21" s="39" t="n">
        <f aca="false">-(SUMIFS('Payments Build'!$M$34:$M$72,'Payments Build'!$D$34:$D$72,$A21,'Payments Build'!$L$34:$L$72,"&gt;="&amp;K$5,'Payments Build'!$L$34:$L$72,"&lt;="&amp;K$6)+SUMIFS('Payments Build'!$M$77:$M$180,'Payments Build'!$D$77:$D$180,$A21,'Payments Build'!$L$77:$L$180,"&gt;="&amp;K$5,'Payments Build'!$L$77:$L$180,"&lt;="&amp;K$6)+SUMIFS('Payments Build'!$M$185:$M$210,'Payments Build'!$D$185:$D$210,$A21,'Payments Build'!$L$185:$L$210,"&gt;="&amp;K$5,'Payments Build'!$L$185:$L$210,"&lt;="&amp;K$6))</f>
        <v>-110.8</v>
      </c>
      <c r="L21" s="39" t="n">
        <f aca="false">-(SUMIFS('Payments Build'!$M$34:$M$72,'Payments Build'!$D$34:$D$72,$A21,'Payments Build'!$L$34:$L$72,"&gt;="&amp;L$5,'Payments Build'!$L$34:$L$72,"&lt;="&amp;L$6)+SUMIFS('Payments Build'!$M$77:$M$180,'Payments Build'!$D$77:$D$180,$A21,'Payments Build'!$L$77:$L$180,"&gt;="&amp;L$5,'Payments Build'!$L$77:$L$180,"&lt;="&amp;L$6)+SUMIFS('Payments Build'!$M$185:$M$210,'Payments Build'!$D$185:$D$210,$A21,'Payments Build'!$L$185:$L$210,"&gt;="&amp;L$5,'Payments Build'!$L$185:$L$210,"&lt;="&amp;L$6))</f>
        <v>-112</v>
      </c>
      <c r="M21" s="39" t="n">
        <f aca="false">-(SUMIFS('Payments Build'!$M$34:$M$72,'Payments Build'!$D$34:$D$72,$A21,'Payments Build'!$L$34:$L$72,"&gt;="&amp;M$5,'Payments Build'!$L$34:$L$72,"&lt;="&amp;M$6)+SUMIFS('Payments Build'!$M$77:$M$180,'Payments Build'!$D$77:$D$180,$A21,'Payments Build'!$L$77:$L$180,"&gt;="&amp;M$5,'Payments Build'!$L$77:$L$180,"&lt;="&amp;M$6)+SUMIFS('Payments Build'!$M$185:$M$210,'Payments Build'!$D$185:$D$210,$A21,'Payments Build'!$L$185:$L$210,"&gt;="&amp;M$5,'Payments Build'!$L$185:$L$210,"&lt;="&amp;M$6))</f>
        <v>-221.6</v>
      </c>
      <c r="N21" s="39" t="n">
        <f aca="false">-(SUMIFS('Payments Build'!$M$34:$M$72,'Payments Build'!$D$34:$D$72,$A21,'Payments Build'!$L$34:$L$72,"&gt;="&amp;N$5,'Payments Build'!$L$34:$L$72,"&lt;="&amp;N$6)+SUMIFS('Payments Build'!$M$77:$M$180,'Payments Build'!$D$77:$D$180,$A21,'Payments Build'!$L$77:$L$180,"&gt;="&amp;N$5,'Payments Build'!$L$77:$L$180,"&lt;="&amp;N$6)+SUMIFS('Payments Build'!$M$185:$M$210,'Payments Build'!$D$185:$D$210,$A21,'Payments Build'!$L$185:$L$210,"&gt;="&amp;N$5,'Payments Build'!$L$185:$L$210,"&lt;="&amp;N$6))</f>
        <v>-270.8</v>
      </c>
      <c r="O21" s="40" t="n">
        <f aca="false">SUM(B21:N21)</f>
        <v>-3495.6</v>
      </c>
    </row>
    <row r="22" customFormat="false" ht="13.5" hidden="false" customHeight="true" outlineLevel="0" collapsed="false">
      <c r="A22" s="38" t="s">
        <v>120</v>
      </c>
      <c r="B22" s="39" t="n">
        <f aca="false">-(SUMIFS('Payments Build'!$M$34:$M$72,'Payments Build'!$D$34:$D$72,$A22,'Payments Build'!$L$34:$L$72,"&gt;="&amp;B$5,'Payments Build'!$L$34:$L$72,"&lt;="&amp;B$6)+SUMIFS('Payments Build'!$M$77:$M$180,'Payments Build'!$D$77:$D$180,$A22,'Payments Build'!$L$77:$L$180,"&gt;="&amp;B$5,'Payments Build'!$L$77:$L$180,"&lt;="&amp;B$6)+SUMIFS('Payments Build'!$M$185:$M$210,'Payments Build'!$D$185:$D$210,$A22,'Payments Build'!$L$185:$L$210,"&gt;="&amp;B$5,'Payments Build'!$L$185:$L$210,"&lt;="&amp;B$6))</f>
        <v>-80.3</v>
      </c>
      <c r="C22" s="39" t="n">
        <f aca="false">-(SUMIFS('Payments Build'!$M$34:$M$72,'Payments Build'!$D$34:$D$72,$A22,'Payments Build'!$L$34:$L$72,"&gt;="&amp;C$5,'Payments Build'!$L$34:$L$72,"&lt;="&amp;C$6)+SUMIFS('Payments Build'!$M$77:$M$180,'Payments Build'!$D$77:$D$180,$A22,'Payments Build'!$L$77:$L$180,"&gt;="&amp;C$5,'Payments Build'!$L$77:$L$180,"&lt;="&amp;C$6)+SUMIFS('Payments Build'!$M$185:$M$210,'Payments Build'!$D$185:$D$210,$A22,'Payments Build'!$L$185:$L$210,"&gt;="&amp;C$5,'Payments Build'!$L$185:$L$210,"&lt;="&amp;C$6))</f>
        <v>-0</v>
      </c>
      <c r="D22" s="39" t="n">
        <f aca="false">-(SUMIFS('Payments Build'!$M$34:$M$72,'Payments Build'!$D$34:$D$72,$A22,'Payments Build'!$L$34:$L$72,"&gt;="&amp;D$5,'Payments Build'!$L$34:$L$72,"&lt;="&amp;D$6)+SUMIFS('Payments Build'!$M$77:$M$180,'Payments Build'!$D$77:$D$180,$A22,'Payments Build'!$L$77:$L$180,"&gt;="&amp;D$5,'Payments Build'!$L$77:$L$180,"&lt;="&amp;D$6)+SUMIFS('Payments Build'!$M$185:$M$210,'Payments Build'!$D$185:$D$210,$A22,'Payments Build'!$L$185:$L$210,"&gt;="&amp;D$5,'Payments Build'!$L$185:$L$210,"&lt;="&amp;D$6))</f>
        <v>-81.9</v>
      </c>
      <c r="E22" s="39" t="n">
        <f aca="false">-(SUMIFS('Payments Build'!$M$34:$M$72,'Payments Build'!$D$34:$D$72,$A22,'Payments Build'!$L$34:$L$72,"&gt;="&amp;E$5,'Payments Build'!$L$34:$L$72,"&lt;="&amp;E$6)+SUMIFS('Payments Build'!$M$77:$M$180,'Payments Build'!$D$77:$D$180,$A22,'Payments Build'!$L$77:$L$180,"&gt;="&amp;E$5,'Payments Build'!$L$77:$L$180,"&lt;="&amp;E$6)+SUMIFS('Payments Build'!$M$185:$M$210,'Payments Build'!$D$185:$D$210,$A22,'Payments Build'!$L$185:$L$210,"&gt;="&amp;E$5,'Payments Build'!$L$185:$L$210,"&lt;="&amp;E$6))</f>
        <v>-0</v>
      </c>
      <c r="F22" s="39" t="n">
        <f aca="false">-(SUMIFS('Payments Build'!$M$34:$M$72,'Payments Build'!$D$34:$D$72,$A22,'Payments Build'!$L$34:$L$72,"&gt;="&amp;F$5,'Payments Build'!$L$34:$L$72,"&lt;="&amp;F$6)+SUMIFS('Payments Build'!$M$77:$M$180,'Payments Build'!$D$77:$D$180,$A22,'Payments Build'!$L$77:$L$180,"&gt;="&amp;F$5,'Payments Build'!$L$77:$L$180,"&lt;="&amp;F$6)+SUMIFS('Payments Build'!$M$185:$M$210,'Payments Build'!$D$185:$D$210,$A22,'Payments Build'!$L$185:$L$210,"&gt;="&amp;F$5,'Payments Build'!$L$185:$L$210,"&lt;="&amp;F$6))</f>
        <v>-78.7</v>
      </c>
      <c r="G22" s="39" t="n">
        <f aca="false">-(SUMIFS('Payments Build'!$M$34:$M$72,'Payments Build'!$D$34:$D$72,$A22,'Payments Build'!$L$34:$L$72,"&gt;="&amp;G$5,'Payments Build'!$L$34:$L$72,"&lt;="&amp;G$6)+SUMIFS('Payments Build'!$M$77:$M$180,'Payments Build'!$D$77:$D$180,$A22,'Payments Build'!$L$77:$L$180,"&gt;="&amp;G$5,'Payments Build'!$L$77:$L$180,"&lt;="&amp;G$6)+SUMIFS('Payments Build'!$M$185:$M$210,'Payments Build'!$D$185:$D$210,$A22,'Payments Build'!$L$185:$L$210,"&gt;="&amp;G$5,'Payments Build'!$L$185:$L$210,"&lt;="&amp;G$6))</f>
        <v>-40.2</v>
      </c>
      <c r="H22" s="39" t="n">
        <f aca="false">-(SUMIFS('Payments Build'!$M$34:$M$72,'Payments Build'!$D$34:$D$72,$A22,'Payments Build'!$L$34:$L$72,"&gt;="&amp;H$5,'Payments Build'!$L$34:$L$72,"&lt;="&amp;H$6)+SUMIFS('Payments Build'!$M$77:$M$180,'Payments Build'!$D$77:$D$180,$A22,'Payments Build'!$L$77:$L$180,"&gt;="&amp;H$5,'Payments Build'!$L$77:$L$180,"&lt;="&amp;H$6)+SUMIFS('Payments Build'!$M$185:$M$210,'Payments Build'!$D$185:$D$210,$A22,'Payments Build'!$L$185:$L$210,"&gt;="&amp;H$5,'Payments Build'!$L$185:$L$210,"&lt;="&amp;H$6))</f>
        <v>-41</v>
      </c>
      <c r="I22" s="39" t="n">
        <f aca="false">-(SUMIFS('Payments Build'!$M$34:$M$72,'Payments Build'!$D$34:$D$72,$A22,'Payments Build'!$L$34:$L$72,"&gt;="&amp;I$5,'Payments Build'!$L$34:$L$72,"&lt;="&amp;I$6)+SUMIFS('Payments Build'!$M$77:$M$180,'Payments Build'!$D$77:$D$180,$A22,'Payments Build'!$L$77:$L$180,"&gt;="&amp;I$5,'Payments Build'!$L$77:$L$180,"&lt;="&amp;I$6)+SUMIFS('Payments Build'!$M$185:$M$210,'Payments Build'!$D$185:$D$210,$A22,'Payments Build'!$L$185:$L$210,"&gt;="&amp;I$5,'Payments Build'!$L$185:$L$210,"&lt;="&amp;I$6))</f>
        <v>-8</v>
      </c>
      <c r="J22" s="39" t="n">
        <f aca="false">-(SUMIFS('Payments Build'!$M$34:$M$72,'Payments Build'!$D$34:$D$72,$A22,'Payments Build'!$L$34:$L$72,"&gt;="&amp;J$5,'Payments Build'!$L$34:$L$72,"&lt;="&amp;J$6)+SUMIFS('Payments Build'!$M$77:$M$180,'Payments Build'!$D$77:$D$180,$A22,'Payments Build'!$L$77:$L$180,"&gt;="&amp;J$5,'Payments Build'!$L$77:$L$180,"&lt;="&amp;J$6)+SUMIFS('Payments Build'!$M$185:$M$210,'Payments Build'!$D$185:$D$210,$A22,'Payments Build'!$L$185:$L$210,"&gt;="&amp;J$5,'Payments Build'!$L$185:$L$210,"&lt;="&amp;J$6))</f>
        <v>-8</v>
      </c>
      <c r="K22" s="39" t="n">
        <f aca="false">-(SUMIFS('Payments Build'!$M$34:$M$72,'Payments Build'!$D$34:$D$72,$A22,'Payments Build'!$L$34:$L$72,"&gt;="&amp;K$5,'Payments Build'!$L$34:$L$72,"&lt;="&amp;K$6)+SUMIFS('Payments Build'!$M$77:$M$180,'Payments Build'!$D$77:$D$180,$A22,'Payments Build'!$L$77:$L$180,"&gt;="&amp;K$5,'Payments Build'!$L$77:$L$180,"&lt;="&amp;K$6)+SUMIFS('Payments Build'!$M$185:$M$210,'Payments Build'!$D$185:$D$210,$A22,'Payments Build'!$L$185:$L$210,"&gt;="&amp;K$5,'Payments Build'!$L$185:$L$210,"&lt;="&amp;K$6))</f>
        <v>-34.1</v>
      </c>
      <c r="L22" s="39" t="n">
        <f aca="false">-(SUMIFS('Payments Build'!$M$34:$M$72,'Payments Build'!$D$34:$D$72,$A22,'Payments Build'!$L$34:$L$72,"&gt;="&amp;L$5,'Payments Build'!$L$34:$L$72,"&lt;="&amp;L$6)+SUMIFS('Payments Build'!$M$77:$M$180,'Payments Build'!$D$77:$D$180,$A22,'Payments Build'!$L$77:$L$180,"&gt;="&amp;L$5,'Payments Build'!$L$77:$L$180,"&lt;="&amp;L$6)+SUMIFS('Payments Build'!$M$185:$M$210,'Payments Build'!$D$185:$D$210,$A22,'Payments Build'!$L$185:$L$210,"&gt;="&amp;L$5,'Payments Build'!$L$185:$L$210,"&lt;="&amp;L$6))</f>
        <v>-42.2</v>
      </c>
      <c r="M22" s="39" t="n">
        <f aca="false">-(SUMIFS('Payments Build'!$M$34:$M$72,'Payments Build'!$D$34:$D$72,$A22,'Payments Build'!$L$34:$L$72,"&gt;="&amp;M$5,'Payments Build'!$L$34:$L$72,"&lt;="&amp;M$6)+SUMIFS('Payments Build'!$M$77:$M$180,'Payments Build'!$D$77:$D$180,$A22,'Payments Build'!$L$77:$L$180,"&gt;="&amp;M$5,'Payments Build'!$L$77:$L$180,"&lt;="&amp;M$6)+SUMIFS('Payments Build'!$M$185:$M$210,'Payments Build'!$D$185:$D$210,$A22,'Payments Build'!$L$185:$L$210,"&gt;="&amp;M$5,'Payments Build'!$L$185:$L$210,"&lt;="&amp;M$6))</f>
        <v>-44.2</v>
      </c>
      <c r="N22" s="39" t="n">
        <f aca="false">-(SUMIFS('Payments Build'!$M$34:$M$72,'Payments Build'!$D$34:$D$72,$A22,'Payments Build'!$L$34:$L$72,"&gt;="&amp;N$5,'Payments Build'!$L$34:$L$72,"&lt;="&amp;N$6)+SUMIFS('Payments Build'!$M$77:$M$180,'Payments Build'!$D$77:$D$180,$A22,'Payments Build'!$L$77:$L$180,"&gt;="&amp;N$5,'Payments Build'!$L$77:$L$180,"&lt;="&amp;N$6)+SUMIFS('Payments Build'!$M$185:$M$210,'Payments Build'!$D$185:$D$210,$A22,'Payments Build'!$L$185:$L$210,"&gt;="&amp;N$5,'Payments Build'!$L$185:$L$210,"&lt;="&amp;N$6))</f>
        <v>-44.2</v>
      </c>
      <c r="O22" s="40" t="n">
        <f aca="false">SUM(B22:N22)</f>
        <v>-502.8</v>
      </c>
    </row>
    <row r="23" customFormat="false" ht="13.5" hidden="false" customHeight="true" outlineLevel="0" collapsed="false">
      <c r="A23" s="38" t="s">
        <v>121</v>
      </c>
      <c r="B23" s="39" t="n">
        <f aca="false">-(SUMIFS('Payments Build'!$M$34:$M$72,'Payments Build'!$D$34:$D$72,$A23,'Payments Build'!$L$34:$L$72,"&gt;="&amp;B$5,'Payments Build'!$L$34:$L$72,"&lt;="&amp;B$6)+SUMIFS('Payments Build'!$M$77:$M$180,'Payments Build'!$D$77:$D$180,$A23,'Payments Build'!$L$77:$L$180,"&gt;="&amp;B$5,'Payments Build'!$L$77:$L$180,"&lt;="&amp;B$6)+SUMIFS('Payments Build'!$M$185:$M$210,'Payments Build'!$D$185:$D$210,$A23,'Payments Build'!$L$185:$L$210,"&gt;="&amp;B$5,'Payments Build'!$L$185:$L$210,"&lt;="&amp;B$6))</f>
        <v>-73.6</v>
      </c>
      <c r="C23" s="39" t="n">
        <f aca="false">-(SUMIFS('Payments Build'!$M$34:$M$72,'Payments Build'!$D$34:$D$72,$A23,'Payments Build'!$L$34:$L$72,"&gt;="&amp;C$5,'Payments Build'!$L$34:$L$72,"&lt;="&amp;C$6)+SUMIFS('Payments Build'!$M$77:$M$180,'Payments Build'!$D$77:$D$180,$A23,'Payments Build'!$L$77:$L$180,"&gt;="&amp;C$5,'Payments Build'!$L$77:$L$180,"&lt;="&amp;C$6)+SUMIFS('Payments Build'!$M$185:$M$210,'Payments Build'!$D$185:$D$210,$A23,'Payments Build'!$L$185:$L$210,"&gt;="&amp;C$5,'Payments Build'!$L$185:$L$210,"&lt;="&amp;C$6))</f>
        <v>-0</v>
      </c>
      <c r="D23" s="39" t="n">
        <f aca="false">-(SUMIFS('Payments Build'!$M$34:$M$72,'Payments Build'!$D$34:$D$72,$A23,'Payments Build'!$L$34:$L$72,"&gt;="&amp;D$5,'Payments Build'!$L$34:$L$72,"&lt;="&amp;D$6)+SUMIFS('Payments Build'!$M$77:$M$180,'Payments Build'!$D$77:$D$180,$A23,'Payments Build'!$L$77:$L$180,"&gt;="&amp;D$5,'Payments Build'!$L$77:$L$180,"&lt;="&amp;D$6)+SUMIFS('Payments Build'!$M$185:$M$210,'Payments Build'!$D$185:$D$210,$A23,'Payments Build'!$L$185:$L$210,"&gt;="&amp;D$5,'Payments Build'!$L$185:$L$210,"&lt;="&amp;D$6))</f>
        <v>-75.1</v>
      </c>
      <c r="E23" s="39" t="n">
        <f aca="false">-(SUMIFS('Payments Build'!$M$34:$M$72,'Payments Build'!$D$34:$D$72,$A23,'Payments Build'!$L$34:$L$72,"&gt;="&amp;E$5,'Payments Build'!$L$34:$L$72,"&lt;="&amp;E$6)+SUMIFS('Payments Build'!$M$77:$M$180,'Payments Build'!$D$77:$D$180,$A23,'Payments Build'!$L$77:$L$180,"&gt;="&amp;E$5,'Payments Build'!$L$77:$L$180,"&lt;="&amp;E$6)+SUMIFS('Payments Build'!$M$185:$M$210,'Payments Build'!$D$185:$D$210,$A23,'Payments Build'!$L$185:$L$210,"&gt;="&amp;E$5,'Payments Build'!$L$185:$L$210,"&lt;="&amp;E$6))</f>
        <v>-0</v>
      </c>
      <c r="F23" s="39" t="n">
        <f aca="false">-(SUMIFS('Payments Build'!$M$34:$M$72,'Payments Build'!$D$34:$D$72,$A23,'Payments Build'!$L$34:$L$72,"&gt;="&amp;F$5,'Payments Build'!$L$34:$L$72,"&lt;="&amp;F$6)+SUMIFS('Payments Build'!$M$77:$M$180,'Payments Build'!$D$77:$D$180,$A23,'Payments Build'!$L$77:$L$180,"&gt;="&amp;F$5,'Payments Build'!$L$77:$L$180,"&lt;="&amp;F$6)+SUMIFS('Payments Build'!$M$185:$M$210,'Payments Build'!$D$185:$D$210,$A23,'Payments Build'!$L$185:$L$210,"&gt;="&amp;F$5,'Payments Build'!$L$185:$L$210,"&lt;="&amp;F$6))</f>
        <v>-72.2</v>
      </c>
      <c r="G23" s="39" t="n">
        <f aca="false">-(SUMIFS('Payments Build'!$M$34:$M$72,'Payments Build'!$D$34:$D$72,$A23,'Payments Build'!$L$34:$L$72,"&gt;="&amp;G$5,'Payments Build'!$L$34:$L$72,"&lt;="&amp;G$6)+SUMIFS('Payments Build'!$M$77:$M$180,'Payments Build'!$D$77:$D$180,$A23,'Payments Build'!$L$77:$L$180,"&gt;="&amp;G$5,'Payments Build'!$L$77:$L$180,"&lt;="&amp;G$6)+SUMIFS('Payments Build'!$M$185:$M$210,'Payments Build'!$D$185:$D$210,$A23,'Payments Build'!$L$185:$L$210,"&gt;="&amp;G$5,'Payments Build'!$L$185:$L$210,"&lt;="&amp;G$6))</f>
        <v>-36.8</v>
      </c>
      <c r="H23" s="39" t="n">
        <f aca="false">-(SUMIFS('Payments Build'!$M$34:$M$72,'Payments Build'!$D$34:$D$72,$A23,'Payments Build'!$L$34:$L$72,"&gt;="&amp;H$5,'Payments Build'!$L$34:$L$72,"&lt;="&amp;H$6)+SUMIFS('Payments Build'!$M$77:$M$180,'Payments Build'!$D$77:$D$180,$A23,'Payments Build'!$L$77:$L$180,"&gt;="&amp;H$5,'Payments Build'!$L$77:$L$180,"&lt;="&amp;H$6)+SUMIFS('Payments Build'!$M$185:$M$210,'Payments Build'!$D$185:$D$210,$A23,'Payments Build'!$L$185:$L$210,"&gt;="&amp;H$5,'Payments Build'!$L$185:$L$210,"&lt;="&amp;H$6))</f>
        <v>-37.5</v>
      </c>
      <c r="I23" s="39" t="n">
        <f aca="false">-(SUMIFS('Payments Build'!$M$34:$M$72,'Payments Build'!$D$34:$D$72,$A23,'Payments Build'!$L$34:$L$72,"&gt;="&amp;I$5,'Payments Build'!$L$34:$L$72,"&lt;="&amp;I$6)+SUMIFS('Payments Build'!$M$77:$M$180,'Payments Build'!$D$77:$D$180,$A23,'Payments Build'!$L$77:$L$180,"&gt;="&amp;I$5,'Payments Build'!$L$77:$L$180,"&lt;="&amp;I$6)+SUMIFS('Payments Build'!$M$185:$M$210,'Payments Build'!$D$185:$D$210,$A23,'Payments Build'!$L$185:$L$210,"&gt;="&amp;I$5,'Payments Build'!$L$185:$L$210,"&lt;="&amp;I$6))</f>
        <v>-7.4</v>
      </c>
      <c r="J23" s="39" t="n">
        <f aca="false">-(SUMIFS('Payments Build'!$M$34:$M$72,'Payments Build'!$D$34:$D$72,$A23,'Payments Build'!$L$34:$L$72,"&gt;="&amp;J$5,'Payments Build'!$L$34:$L$72,"&lt;="&amp;J$6)+SUMIFS('Payments Build'!$M$77:$M$180,'Payments Build'!$D$77:$D$180,$A23,'Payments Build'!$L$77:$L$180,"&gt;="&amp;J$5,'Payments Build'!$L$77:$L$180,"&lt;="&amp;J$6)+SUMIFS('Payments Build'!$M$185:$M$210,'Payments Build'!$D$185:$D$210,$A23,'Payments Build'!$L$185:$L$210,"&gt;="&amp;J$5,'Payments Build'!$L$185:$L$210,"&lt;="&amp;J$6))</f>
        <v>-7.4</v>
      </c>
      <c r="K23" s="39" t="n">
        <f aca="false">-(SUMIFS('Payments Build'!$M$34:$M$72,'Payments Build'!$D$34:$D$72,$A23,'Payments Build'!$L$34:$L$72,"&gt;="&amp;K$5,'Payments Build'!$L$34:$L$72,"&lt;="&amp;K$6)+SUMIFS('Payments Build'!$M$77:$M$180,'Payments Build'!$D$77:$D$180,$A23,'Payments Build'!$L$77:$L$180,"&gt;="&amp;K$5,'Payments Build'!$L$77:$L$180,"&lt;="&amp;K$6)+SUMIFS('Payments Build'!$M$185:$M$210,'Payments Build'!$D$185:$D$210,$A23,'Payments Build'!$L$185:$L$210,"&gt;="&amp;K$5,'Payments Build'!$L$185:$L$210,"&lt;="&amp;K$6))</f>
        <v>-31.3</v>
      </c>
      <c r="L23" s="39" t="n">
        <f aca="false">-(SUMIFS('Payments Build'!$M$34:$M$72,'Payments Build'!$D$34:$D$72,$A23,'Payments Build'!$L$34:$L$72,"&gt;="&amp;L$5,'Payments Build'!$L$34:$L$72,"&lt;="&amp;L$6)+SUMIFS('Payments Build'!$M$77:$M$180,'Payments Build'!$D$77:$D$180,$A23,'Payments Build'!$L$77:$L$180,"&gt;="&amp;L$5,'Payments Build'!$L$77:$L$180,"&lt;="&amp;L$6)+SUMIFS('Payments Build'!$M$185:$M$210,'Payments Build'!$D$185:$D$210,$A23,'Payments Build'!$L$185:$L$210,"&gt;="&amp;L$5,'Payments Build'!$L$185:$L$210,"&lt;="&amp;L$6))</f>
        <v>-38.6</v>
      </c>
      <c r="M23" s="39" t="n">
        <f aca="false">-(SUMIFS('Payments Build'!$M$34:$M$72,'Payments Build'!$D$34:$D$72,$A23,'Payments Build'!$L$34:$L$72,"&gt;="&amp;M$5,'Payments Build'!$L$34:$L$72,"&lt;="&amp;M$6)+SUMIFS('Payments Build'!$M$77:$M$180,'Payments Build'!$D$77:$D$180,$A23,'Payments Build'!$L$77:$L$180,"&gt;="&amp;M$5,'Payments Build'!$L$77:$L$180,"&lt;="&amp;M$6)+SUMIFS('Payments Build'!$M$185:$M$210,'Payments Build'!$D$185:$D$210,$A23,'Payments Build'!$L$185:$L$210,"&gt;="&amp;M$5,'Payments Build'!$L$185:$L$210,"&lt;="&amp;M$6))</f>
        <v>-40.5</v>
      </c>
      <c r="N23" s="39" t="n">
        <f aca="false">-(SUMIFS('Payments Build'!$M$34:$M$72,'Payments Build'!$D$34:$D$72,$A23,'Payments Build'!$L$34:$L$72,"&gt;="&amp;N$5,'Payments Build'!$L$34:$L$72,"&lt;="&amp;N$6)+SUMIFS('Payments Build'!$M$77:$M$180,'Payments Build'!$D$77:$D$180,$A23,'Payments Build'!$L$77:$L$180,"&gt;="&amp;N$5,'Payments Build'!$L$77:$L$180,"&lt;="&amp;N$6)+SUMIFS('Payments Build'!$M$185:$M$210,'Payments Build'!$D$185:$D$210,$A23,'Payments Build'!$L$185:$L$210,"&gt;="&amp;N$5,'Payments Build'!$L$185:$L$210,"&lt;="&amp;N$6))</f>
        <v>-40.5</v>
      </c>
      <c r="O23" s="40" t="n">
        <f aca="false">SUM(B23:N23)</f>
        <v>-460.9</v>
      </c>
    </row>
    <row r="24" customFormat="false" ht="13.5" hidden="false" customHeight="true" outlineLevel="0" collapsed="false">
      <c r="A24" s="38" t="s">
        <v>122</v>
      </c>
      <c r="B24" s="39" t="n">
        <f aca="false">-(SUMIFS('Payments Build'!$M$34:$M$72,'Payments Build'!$D$34:$D$72,$A24,'Payments Build'!$L$34:$L$72,"&gt;="&amp;B$5,'Payments Build'!$L$34:$L$72,"&lt;="&amp;B$6)+SUMIFS('Payments Build'!$M$77:$M$180,'Payments Build'!$D$77:$D$180,$A24,'Payments Build'!$L$77:$L$180,"&gt;="&amp;B$5,'Payments Build'!$L$77:$L$180,"&lt;="&amp;B$6)+SUMIFS('Payments Build'!$M$185:$M$210,'Payments Build'!$D$185:$D$210,$A24,'Payments Build'!$L$185:$L$210,"&gt;="&amp;B$5,'Payments Build'!$L$185:$L$210,"&lt;="&amp;B$6))</f>
        <v>-0</v>
      </c>
      <c r="C24" s="39" t="n">
        <f aca="false">-(SUMIFS('Payments Build'!$M$34:$M$72,'Payments Build'!$D$34:$D$72,$A24,'Payments Build'!$L$34:$L$72,"&gt;="&amp;C$5,'Payments Build'!$L$34:$L$72,"&lt;="&amp;C$6)+SUMIFS('Payments Build'!$M$77:$M$180,'Payments Build'!$D$77:$D$180,$A24,'Payments Build'!$L$77:$L$180,"&gt;="&amp;C$5,'Payments Build'!$L$77:$L$180,"&lt;="&amp;C$6)+SUMIFS('Payments Build'!$M$185:$M$210,'Payments Build'!$D$185:$D$210,$A24,'Payments Build'!$L$185:$L$210,"&gt;="&amp;C$5,'Payments Build'!$L$185:$L$210,"&lt;="&amp;C$6))</f>
        <v>-0</v>
      </c>
      <c r="D24" s="39" t="n">
        <f aca="false">-(SUMIFS('Payments Build'!$M$34:$M$72,'Payments Build'!$D$34:$D$72,$A24,'Payments Build'!$L$34:$L$72,"&gt;="&amp;D$5,'Payments Build'!$L$34:$L$72,"&lt;="&amp;D$6)+SUMIFS('Payments Build'!$M$77:$M$180,'Payments Build'!$D$77:$D$180,$A24,'Payments Build'!$L$77:$L$180,"&gt;="&amp;D$5,'Payments Build'!$L$77:$L$180,"&lt;="&amp;D$6)+SUMIFS('Payments Build'!$M$185:$M$210,'Payments Build'!$D$185:$D$210,$A24,'Payments Build'!$L$185:$L$210,"&gt;="&amp;D$5,'Payments Build'!$L$185:$L$210,"&lt;="&amp;D$6))</f>
        <v>-0</v>
      </c>
      <c r="E24" s="39" t="n">
        <f aca="false">-(SUMIFS('Payments Build'!$M$34:$M$72,'Payments Build'!$D$34:$D$72,$A24,'Payments Build'!$L$34:$L$72,"&gt;="&amp;E$5,'Payments Build'!$L$34:$L$72,"&lt;="&amp;E$6)+SUMIFS('Payments Build'!$M$77:$M$180,'Payments Build'!$D$77:$D$180,$A24,'Payments Build'!$L$77:$L$180,"&gt;="&amp;E$5,'Payments Build'!$L$77:$L$180,"&lt;="&amp;E$6)+SUMIFS('Payments Build'!$M$185:$M$210,'Payments Build'!$D$185:$D$210,$A24,'Payments Build'!$L$185:$L$210,"&gt;="&amp;E$5,'Payments Build'!$L$185:$L$210,"&lt;="&amp;E$6))</f>
        <v>-93</v>
      </c>
      <c r="F24" s="39" t="n">
        <f aca="false">-(SUMIFS('Payments Build'!$M$34:$M$72,'Payments Build'!$D$34:$D$72,$A24,'Payments Build'!$L$34:$L$72,"&gt;="&amp;F$5,'Payments Build'!$L$34:$L$72,"&lt;="&amp;F$6)+SUMIFS('Payments Build'!$M$77:$M$180,'Payments Build'!$D$77:$D$180,$A24,'Payments Build'!$L$77:$L$180,"&gt;="&amp;F$5,'Payments Build'!$L$77:$L$180,"&lt;="&amp;F$6)+SUMIFS('Payments Build'!$M$185:$M$210,'Payments Build'!$D$185:$D$210,$A24,'Payments Build'!$L$185:$L$210,"&gt;="&amp;F$5,'Payments Build'!$L$185:$L$210,"&lt;="&amp;F$6))</f>
        <v>-0</v>
      </c>
      <c r="G24" s="39" t="n">
        <f aca="false">-(SUMIFS('Payments Build'!$M$34:$M$72,'Payments Build'!$D$34:$D$72,$A24,'Payments Build'!$L$34:$L$72,"&gt;="&amp;G$5,'Payments Build'!$L$34:$L$72,"&lt;="&amp;G$6)+SUMIFS('Payments Build'!$M$77:$M$180,'Payments Build'!$D$77:$D$180,$A24,'Payments Build'!$L$77:$L$180,"&gt;="&amp;G$5,'Payments Build'!$L$77:$L$180,"&lt;="&amp;G$6)+SUMIFS('Payments Build'!$M$185:$M$210,'Payments Build'!$D$185:$D$210,$A24,'Payments Build'!$L$185:$L$210,"&gt;="&amp;G$5,'Payments Build'!$L$185:$L$210,"&lt;="&amp;G$6))</f>
        <v>-0</v>
      </c>
      <c r="H24" s="39" t="n">
        <f aca="false">-(SUMIFS('Payments Build'!$M$34:$M$72,'Payments Build'!$D$34:$D$72,$A24,'Payments Build'!$L$34:$L$72,"&gt;="&amp;H$5,'Payments Build'!$L$34:$L$72,"&lt;="&amp;H$6)+SUMIFS('Payments Build'!$M$77:$M$180,'Payments Build'!$D$77:$D$180,$A24,'Payments Build'!$L$77:$L$180,"&gt;="&amp;H$5,'Payments Build'!$L$77:$L$180,"&lt;="&amp;H$6)+SUMIFS('Payments Build'!$M$185:$M$210,'Payments Build'!$D$185:$D$210,$A24,'Payments Build'!$L$185:$L$210,"&gt;="&amp;H$5,'Payments Build'!$L$185:$L$210,"&lt;="&amp;H$6))</f>
        <v>-0</v>
      </c>
      <c r="I24" s="39" t="n">
        <f aca="false">-(SUMIFS('Payments Build'!$M$34:$M$72,'Payments Build'!$D$34:$D$72,$A24,'Payments Build'!$L$34:$L$72,"&gt;="&amp;I$5,'Payments Build'!$L$34:$L$72,"&lt;="&amp;I$6)+SUMIFS('Payments Build'!$M$77:$M$180,'Payments Build'!$D$77:$D$180,$A24,'Payments Build'!$L$77:$L$180,"&gt;="&amp;I$5,'Payments Build'!$L$77:$L$180,"&lt;="&amp;I$6)+SUMIFS('Payments Build'!$M$185:$M$210,'Payments Build'!$D$185:$D$210,$A24,'Payments Build'!$L$185:$L$210,"&gt;="&amp;I$5,'Payments Build'!$L$185:$L$210,"&lt;="&amp;I$6))</f>
        <v>-51.2</v>
      </c>
      <c r="J24" s="39" t="n">
        <f aca="false">-(SUMIFS('Payments Build'!$M$34:$M$72,'Payments Build'!$D$34:$D$72,$A24,'Payments Build'!$L$34:$L$72,"&gt;="&amp;J$5,'Payments Build'!$L$34:$L$72,"&lt;="&amp;J$6)+SUMIFS('Payments Build'!$M$77:$M$180,'Payments Build'!$D$77:$D$180,$A24,'Payments Build'!$L$77:$L$180,"&gt;="&amp;J$5,'Payments Build'!$L$77:$L$180,"&lt;="&amp;J$6)+SUMIFS('Payments Build'!$M$185:$M$210,'Payments Build'!$D$185:$D$210,$A24,'Payments Build'!$L$185:$L$210,"&gt;="&amp;J$5,'Payments Build'!$L$185:$L$210,"&lt;="&amp;J$6))</f>
        <v>-0</v>
      </c>
      <c r="K24" s="39" t="n">
        <f aca="false">-(SUMIFS('Payments Build'!$M$34:$M$72,'Payments Build'!$D$34:$D$72,$A24,'Payments Build'!$L$34:$L$72,"&gt;="&amp;K$5,'Payments Build'!$L$34:$L$72,"&lt;="&amp;K$6)+SUMIFS('Payments Build'!$M$77:$M$180,'Payments Build'!$D$77:$D$180,$A24,'Payments Build'!$L$77:$L$180,"&gt;="&amp;K$5,'Payments Build'!$L$77:$L$180,"&lt;="&amp;K$6)+SUMIFS('Payments Build'!$M$185:$M$210,'Payments Build'!$D$185:$D$210,$A24,'Payments Build'!$L$185:$L$210,"&gt;="&amp;K$5,'Payments Build'!$L$185:$L$210,"&lt;="&amp;K$6))</f>
        <v>-0</v>
      </c>
      <c r="L24" s="39" t="n">
        <f aca="false">-(SUMIFS('Payments Build'!$M$34:$M$72,'Payments Build'!$D$34:$D$72,$A24,'Payments Build'!$L$34:$L$72,"&gt;="&amp;L$5,'Payments Build'!$L$34:$L$72,"&lt;="&amp;L$6)+SUMIFS('Payments Build'!$M$77:$M$180,'Payments Build'!$D$77:$D$180,$A24,'Payments Build'!$L$77:$L$180,"&gt;="&amp;L$5,'Payments Build'!$L$77:$L$180,"&lt;="&amp;L$6)+SUMIFS('Payments Build'!$M$185:$M$210,'Payments Build'!$D$185:$D$210,$A24,'Payments Build'!$L$185:$L$210,"&gt;="&amp;L$5,'Payments Build'!$L$185:$L$210,"&lt;="&amp;L$6))</f>
        <v>-0</v>
      </c>
      <c r="M24" s="39" t="n">
        <f aca="false">-(SUMIFS('Payments Build'!$M$34:$M$72,'Payments Build'!$D$34:$D$72,$A24,'Payments Build'!$L$34:$L$72,"&gt;="&amp;M$5,'Payments Build'!$L$34:$L$72,"&lt;="&amp;M$6)+SUMIFS('Payments Build'!$M$77:$M$180,'Payments Build'!$D$77:$D$180,$A24,'Payments Build'!$L$77:$L$180,"&gt;="&amp;M$5,'Payments Build'!$L$77:$L$180,"&lt;="&amp;M$6)+SUMIFS('Payments Build'!$M$185:$M$210,'Payments Build'!$D$185:$D$210,$A24,'Payments Build'!$L$185:$L$210,"&gt;="&amp;M$5,'Payments Build'!$L$185:$L$210,"&lt;="&amp;M$6))</f>
        <v>-97.7</v>
      </c>
      <c r="N24" s="39" t="n">
        <f aca="false">-(SUMIFS('Payments Build'!$M$34:$M$72,'Payments Build'!$D$34:$D$72,$A24,'Payments Build'!$L$34:$L$72,"&gt;="&amp;N$5,'Payments Build'!$L$34:$L$72,"&lt;="&amp;N$6)+SUMIFS('Payments Build'!$M$77:$M$180,'Payments Build'!$D$77:$D$180,$A24,'Payments Build'!$L$77:$L$180,"&gt;="&amp;N$5,'Payments Build'!$L$77:$L$180,"&lt;="&amp;N$6)+SUMIFS('Payments Build'!$M$185:$M$210,'Payments Build'!$D$185:$D$210,$A24,'Payments Build'!$L$185:$L$210,"&gt;="&amp;N$5,'Payments Build'!$L$185:$L$210,"&lt;="&amp;N$6))</f>
        <v>-0</v>
      </c>
      <c r="O24" s="40" t="n">
        <f aca="false">SUM(B24:N24)</f>
        <v>-241.9</v>
      </c>
    </row>
    <row r="25" customFormat="false" ht="13.5" hidden="false" customHeight="true" outlineLevel="0" collapsed="false">
      <c r="A25" s="38" t="s">
        <v>123</v>
      </c>
      <c r="B25" s="39" t="n">
        <f aca="false">-(SUMIFS('Payments Build'!$M$34:$M$72,'Payments Build'!$D$34:$D$72,$A25,'Payments Build'!$L$34:$L$72,"&gt;="&amp;B$5,'Payments Build'!$L$34:$L$72,"&lt;="&amp;B$6)+SUMIFS('Payments Build'!$M$77:$M$180,'Payments Build'!$D$77:$D$180,$A25,'Payments Build'!$L$77:$L$180,"&gt;="&amp;B$5,'Payments Build'!$L$77:$L$180,"&lt;="&amp;B$6)+SUMIFS('Payments Build'!$M$185:$M$210,'Payments Build'!$D$185:$D$210,$A25,'Payments Build'!$L$185:$L$210,"&gt;="&amp;B$5,'Payments Build'!$L$185:$L$210,"&lt;="&amp;B$6))</f>
        <v>-33.5</v>
      </c>
      <c r="C25" s="39" t="n">
        <f aca="false">-(SUMIFS('Payments Build'!$M$34:$M$72,'Payments Build'!$D$34:$D$72,$A25,'Payments Build'!$L$34:$L$72,"&gt;="&amp;C$5,'Payments Build'!$L$34:$L$72,"&lt;="&amp;C$6)+SUMIFS('Payments Build'!$M$77:$M$180,'Payments Build'!$D$77:$D$180,$A25,'Payments Build'!$L$77:$L$180,"&gt;="&amp;C$5,'Payments Build'!$L$77:$L$180,"&lt;="&amp;C$6)+SUMIFS('Payments Build'!$M$185:$M$210,'Payments Build'!$D$185:$D$210,$A25,'Payments Build'!$L$185:$L$210,"&gt;="&amp;C$5,'Payments Build'!$L$185:$L$210,"&lt;="&amp;C$6))</f>
        <v>-0</v>
      </c>
      <c r="D25" s="39" t="n">
        <f aca="false">-(SUMIFS('Payments Build'!$M$34:$M$72,'Payments Build'!$D$34:$D$72,$A25,'Payments Build'!$L$34:$L$72,"&gt;="&amp;D$5,'Payments Build'!$L$34:$L$72,"&lt;="&amp;D$6)+SUMIFS('Payments Build'!$M$77:$M$180,'Payments Build'!$D$77:$D$180,$A25,'Payments Build'!$L$77:$L$180,"&gt;="&amp;D$5,'Payments Build'!$L$77:$L$180,"&lt;="&amp;D$6)+SUMIFS('Payments Build'!$M$185:$M$210,'Payments Build'!$D$185:$D$210,$A25,'Payments Build'!$L$185:$L$210,"&gt;="&amp;D$5,'Payments Build'!$L$185:$L$210,"&lt;="&amp;D$6))</f>
        <v>-34.1</v>
      </c>
      <c r="E25" s="39" t="n">
        <f aca="false">-(SUMIFS('Payments Build'!$M$34:$M$72,'Payments Build'!$D$34:$D$72,$A25,'Payments Build'!$L$34:$L$72,"&gt;="&amp;E$5,'Payments Build'!$L$34:$L$72,"&lt;="&amp;E$6)+SUMIFS('Payments Build'!$M$77:$M$180,'Payments Build'!$D$77:$D$180,$A25,'Payments Build'!$L$77:$L$180,"&gt;="&amp;E$5,'Payments Build'!$L$77:$L$180,"&lt;="&amp;E$6)+SUMIFS('Payments Build'!$M$185:$M$210,'Payments Build'!$D$185:$D$210,$A25,'Payments Build'!$L$185:$L$210,"&gt;="&amp;E$5,'Payments Build'!$L$185:$L$210,"&lt;="&amp;E$6))</f>
        <v>-0</v>
      </c>
      <c r="F25" s="39" t="n">
        <f aca="false">-(SUMIFS('Payments Build'!$M$34:$M$72,'Payments Build'!$D$34:$D$72,$A25,'Payments Build'!$L$34:$L$72,"&gt;="&amp;F$5,'Payments Build'!$L$34:$L$72,"&lt;="&amp;F$6)+SUMIFS('Payments Build'!$M$77:$M$180,'Payments Build'!$D$77:$D$180,$A25,'Payments Build'!$L$77:$L$180,"&gt;="&amp;F$5,'Payments Build'!$L$77:$L$180,"&lt;="&amp;F$6)+SUMIFS('Payments Build'!$M$185:$M$210,'Payments Build'!$D$185:$D$210,$A25,'Payments Build'!$L$185:$L$210,"&gt;="&amp;F$5,'Payments Build'!$L$185:$L$210,"&lt;="&amp;F$6))</f>
        <v>-32.8</v>
      </c>
      <c r="G25" s="39" t="n">
        <f aca="false">-(SUMIFS('Payments Build'!$M$34:$M$72,'Payments Build'!$D$34:$D$72,$A25,'Payments Build'!$L$34:$L$72,"&gt;="&amp;G$5,'Payments Build'!$L$34:$L$72,"&lt;="&amp;G$6)+SUMIFS('Payments Build'!$M$77:$M$180,'Payments Build'!$D$77:$D$180,$A25,'Payments Build'!$L$77:$L$180,"&gt;="&amp;G$5,'Payments Build'!$L$77:$L$180,"&lt;="&amp;G$6)+SUMIFS('Payments Build'!$M$185:$M$210,'Payments Build'!$D$185:$D$210,$A25,'Payments Build'!$L$185:$L$210,"&gt;="&amp;G$5,'Payments Build'!$L$185:$L$210,"&lt;="&amp;G$6))</f>
        <v>-16.7</v>
      </c>
      <c r="H25" s="39" t="n">
        <f aca="false">-(SUMIFS('Payments Build'!$M$34:$M$72,'Payments Build'!$D$34:$D$72,$A25,'Payments Build'!$L$34:$L$72,"&gt;="&amp;H$5,'Payments Build'!$L$34:$L$72,"&lt;="&amp;H$6)+SUMIFS('Payments Build'!$M$77:$M$180,'Payments Build'!$D$77:$D$180,$A25,'Payments Build'!$L$77:$L$180,"&gt;="&amp;H$5,'Payments Build'!$L$77:$L$180,"&lt;="&amp;H$6)+SUMIFS('Payments Build'!$M$185:$M$210,'Payments Build'!$D$185:$D$210,$A25,'Payments Build'!$L$185:$L$210,"&gt;="&amp;H$5,'Payments Build'!$L$185:$L$210,"&lt;="&amp;H$6))</f>
        <v>-17.1</v>
      </c>
      <c r="I25" s="39" t="n">
        <f aca="false">-(SUMIFS('Payments Build'!$M$34:$M$72,'Payments Build'!$D$34:$D$72,$A25,'Payments Build'!$L$34:$L$72,"&gt;="&amp;I$5,'Payments Build'!$L$34:$L$72,"&lt;="&amp;I$6)+SUMIFS('Payments Build'!$M$77:$M$180,'Payments Build'!$D$77:$D$180,$A25,'Payments Build'!$L$77:$L$180,"&gt;="&amp;I$5,'Payments Build'!$L$77:$L$180,"&lt;="&amp;I$6)+SUMIFS('Payments Build'!$M$185:$M$210,'Payments Build'!$D$185:$D$210,$A25,'Payments Build'!$L$185:$L$210,"&gt;="&amp;I$5,'Payments Build'!$L$185:$L$210,"&lt;="&amp;I$6))</f>
        <v>-3.3</v>
      </c>
      <c r="J25" s="39" t="n">
        <f aca="false">-(SUMIFS('Payments Build'!$M$34:$M$72,'Payments Build'!$D$34:$D$72,$A25,'Payments Build'!$L$34:$L$72,"&gt;="&amp;J$5,'Payments Build'!$L$34:$L$72,"&lt;="&amp;J$6)+SUMIFS('Payments Build'!$M$77:$M$180,'Payments Build'!$D$77:$D$180,$A25,'Payments Build'!$L$77:$L$180,"&gt;="&amp;J$5,'Payments Build'!$L$77:$L$180,"&lt;="&amp;J$6)+SUMIFS('Payments Build'!$M$185:$M$210,'Payments Build'!$D$185:$D$210,$A25,'Payments Build'!$L$185:$L$210,"&gt;="&amp;J$5,'Payments Build'!$L$185:$L$210,"&lt;="&amp;J$6))</f>
        <v>-3.3</v>
      </c>
      <c r="K25" s="39" t="n">
        <f aca="false">-(SUMIFS('Payments Build'!$M$34:$M$72,'Payments Build'!$D$34:$D$72,$A25,'Payments Build'!$L$34:$L$72,"&gt;="&amp;K$5,'Payments Build'!$L$34:$L$72,"&lt;="&amp;K$6)+SUMIFS('Payments Build'!$M$77:$M$180,'Payments Build'!$D$77:$D$180,$A25,'Payments Build'!$L$77:$L$180,"&gt;="&amp;K$5,'Payments Build'!$L$77:$L$180,"&lt;="&amp;K$6)+SUMIFS('Payments Build'!$M$185:$M$210,'Payments Build'!$D$185:$D$210,$A25,'Payments Build'!$L$185:$L$210,"&gt;="&amp;K$5,'Payments Build'!$L$185:$L$210,"&lt;="&amp;K$6))</f>
        <v>-14.2</v>
      </c>
      <c r="L25" s="39" t="n">
        <f aca="false">-(SUMIFS('Payments Build'!$M$34:$M$72,'Payments Build'!$D$34:$D$72,$A25,'Payments Build'!$L$34:$L$72,"&gt;="&amp;L$5,'Payments Build'!$L$34:$L$72,"&lt;="&amp;L$6)+SUMIFS('Payments Build'!$M$77:$M$180,'Payments Build'!$D$77:$D$180,$A25,'Payments Build'!$L$77:$L$180,"&gt;="&amp;L$5,'Payments Build'!$L$77:$L$180,"&lt;="&amp;L$6)+SUMIFS('Payments Build'!$M$185:$M$210,'Payments Build'!$D$185:$D$210,$A25,'Payments Build'!$L$185:$L$210,"&gt;="&amp;L$5,'Payments Build'!$L$185:$L$210,"&lt;="&amp;L$6))</f>
        <v>-17.6</v>
      </c>
      <c r="M25" s="39" t="n">
        <f aca="false">-(SUMIFS('Payments Build'!$M$34:$M$72,'Payments Build'!$D$34:$D$72,$A25,'Payments Build'!$L$34:$L$72,"&gt;="&amp;M$5,'Payments Build'!$L$34:$L$72,"&lt;="&amp;M$6)+SUMIFS('Payments Build'!$M$77:$M$180,'Payments Build'!$D$77:$D$180,$A25,'Payments Build'!$L$77:$L$180,"&gt;="&amp;M$5,'Payments Build'!$L$77:$L$180,"&lt;="&amp;M$6)+SUMIFS('Payments Build'!$M$185:$M$210,'Payments Build'!$D$185:$D$210,$A25,'Payments Build'!$L$185:$L$210,"&gt;="&amp;M$5,'Payments Build'!$L$185:$L$210,"&lt;="&amp;M$6))</f>
        <v>-18.4</v>
      </c>
      <c r="N25" s="39" t="n">
        <f aca="false">-(SUMIFS('Payments Build'!$M$34:$M$72,'Payments Build'!$D$34:$D$72,$A25,'Payments Build'!$L$34:$L$72,"&gt;="&amp;N$5,'Payments Build'!$L$34:$L$72,"&lt;="&amp;N$6)+SUMIFS('Payments Build'!$M$77:$M$180,'Payments Build'!$D$77:$D$180,$A25,'Payments Build'!$L$77:$L$180,"&gt;="&amp;N$5,'Payments Build'!$L$77:$L$180,"&lt;="&amp;N$6)+SUMIFS('Payments Build'!$M$185:$M$210,'Payments Build'!$D$185:$D$210,$A25,'Payments Build'!$L$185:$L$210,"&gt;="&amp;N$5,'Payments Build'!$L$185:$L$210,"&lt;="&amp;N$6))</f>
        <v>-18.4</v>
      </c>
      <c r="O25" s="40" t="n">
        <f aca="false">SUM(B25:N25)</f>
        <v>-209.4</v>
      </c>
    </row>
    <row r="26" customFormat="false" ht="13.5" hidden="false" customHeight="true" outlineLevel="0" collapsed="false">
      <c r="A26" s="38" t="s">
        <v>124</v>
      </c>
      <c r="B26" s="39" t="n">
        <f aca="false">-(SUMIFS('Payments Build'!$M$34:$M$72,'Payments Build'!$D$34:$D$72,$A26,'Payments Build'!$L$34:$L$72,"&gt;="&amp;B$5,'Payments Build'!$L$34:$L$72,"&lt;="&amp;B$6)+SUMIFS('Payments Build'!$M$77:$M$180,'Payments Build'!$D$77:$D$180,$A26,'Payments Build'!$L$77:$L$180,"&gt;="&amp;B$5,'Payments Build'!$L$77:$L$180,"&lt;="&amp;B$6)+SUMIFS('Payments Build'!$M$185:$M$210,'Payments Build'!$D$185:$D$210,$A26,'Payments Build'!$L$185:$L$210,"&gt;="&amp;B$5,'Payments Build'!$L$185:$L$210,"&lt;="&amp;B$6))</f>
        <v>-0</v>
      </c>
      <c r="C26" s="39" t="n">
        <f aca="false">-(SUMIFS('Payments Build'!$M$34:$M$72,'Payments Build'!$D$34:$D$72,$A26,'Payments Build'!$L$34:$L$72,"&gt;="&amp;C$5,'Payments Build'!$L$34:$L$72,"&lt;="&amp;C$6)+SUMIFS('Payments Build'!$M$77:$M$180,'Payments Build'!$D$77:$D$180,$A26,'Payments Build'!$L$77:$L$180,"&gt;="&amp;C$5,'Payments Build'!$L$77:$L$180,"&lt;="&amp;C$6)+SUMIFS('Payments Build'!$M$185:$M$210,'Payments Build'!$D$185:$D$210,$A26,'Payments Build'!$L$185:$L$210,"&gt;="&amp;C$5,'Payments Build'!$L$185:$L$210,"&lt;="&amp;C$6))</f>
        <v>-0</v>
      </c>
      <c r="D26" s="39" t="n">
        <f aca="false">-(SUMIFS('Payments Build'!$M$34:$M$72,'Payments Build'!$D$34:$D$72,$A26,'Payments Build'!$L$34:$L$72,"&gt;="&amp;D$5,'Payments Build'!$L$34:$L$72,"&lt;="&amp;D$6)+SUMIFS('Payments Build'!$M$77:$M$180,'Payments Build'!$D$77:$D$180,$A26,'Payments Build'!$L$77:$L$180,"&gt;="&amp;D$5,'Payments Build'!$L$77:$L$180,"&lt;="&amp;D$6)+SUMIFS('Payments Build'!$M$185:$M$210,'Payments Build'!$D$185:$D$210,$A26,'Payments Build'!$L$185:$L$210,"&gt;="&amp;D$5,'Payments Build'!$L$185:$L$210,"&lt;="&amp;D$6))</f>
        <v>-305</v>
      </c>
      <c r="E26" s="39" t="n">
        <f aca="false">-(SUMIFS('Payments Build'!$M$34:$M$72,'Payments Build'!$D$34:$D$72,$A26,'Payments Build'!$L$34:$L$72,"&gt;="&amp;E$5,'Payments Build'!$L$34:$L$72,"&lt;="&amp;E$6)+SUMIFS('Payments Build'!$M$77:$M$180,'Payments Build'!$D$77:$D$180,$A26,'Payments Build'!$L$77:$L$180,"&gt;="&amp;E$5,'Payments Build'!$L$77:$L$180,"&lt;="&amp;E$6)+SUMIFS('Payments Build'!$M$185:$M$210,'Payments Build'!$D$185:$D$210,$A26,'Payments Build'!$L$185:$L$210,"&gt;="&amp;E$5,'Payments Build'!$L$185:$L$210,"&lt;="&amp;E$6))</f>
        <v>-0</v>
      </c>
      <c r="F26" s="39" t="n">
        <f aca="false">-(SUMIFS('Payments Build'!$M$34:$M$72,'Payments Build'!$D$34:$D$72,$A26,'Payments Build'!$L$34:$L$72,"&gt;="&amp;F$5,'Payments Build'!$L$34:$L$72,"&lt;="&amp;F$6)+SUMIFS('Payments Build'!$M$77:$M$180,'Payments Build'!$D$77:$D$180,$A26,'Payments Build'!$L$77:$L$180,"&gt;="&amp;F$5,'Payments Build'!$L$77:$L$180,"&lt;="&amp;F$6)+SUMIFS('Payments Build'!$M$185:$M$210,'Payments Build'!$D$185:$D$210,$A26,'Payments Build'!$L$185:$L$210,"&gt;="&amp;F$5,'Payments Build'!$L$185:$L$210,"&lt;="&amp;F$6))</f>
        <v>-0</v>
      </c>
      <c r="G26" s="39" t="n">
        <f aca="false">-(SUMIFS('Payments Build'!$M$34:$M$72,'Payments Build'!$D$34:$D$72,$A26,'Payments Build'!$L$34:$L$72,"&gt;="&amp;G$5,'Payments Build'!$L$34:$L$72,"&lt;="&amp;G$6)+SUMIFS('Payments Build'!$M$77:$M$180,'Payments Build'!$D$77:$D$180,$A26,'Payments Build'!$L$77:$L$180,"&gt;="&amp;G$5,'Payments Build'!$L$77:$L$180,"&lt;="&amp;G$6)+SUMIFS('Payments Build'!$M$185:$M$210,'Payments Build'!$D$185:$D$210,$A26,'Payments Build'!$L$185:$L$210,"&gt;="&amp;G$5,'Payments Build'!$L$185:$L$210,"&lt;="&amp;G$6))</f>
        <v>-0</v>
      </c>
      <c r="H26" s="39" t="n">
        <f aca="false">-(SUMIFS('Payments Build'!$M$34:$M$72,'Payments Build'!$D$34:$D$72,$A26,'Payments Build'!$L$34:$L$72,"&gt;="&amp;H$5,'Payments Build'!$L$34:$L$72,"&lt;="&amp;H$6)+SUMIFS('Payments Build'!$M$77:$M$180,'Payments Build'!$D$77:$D$180,$A26,'Payments Build'!$L$77:$L$180,"&gt;="&amp;H$5,'Payments Build'!$L$77:$L$180,"&lt;="&amp;H$6)+SUMIFS('Payments Build'!$M$185:$M$210,'Payments Build'!$D$185:$D$210,$A26,'Payments Build'!$L$185:$L$210,"&gt;="&amp;H$5,'Payments Build'!$L$185:$L$210,"&lt;="&amp;H$6))</f>
        <v>-305</v>
      </c>
      <c r="I26" s="39" t="n">
        <f aca="false">-(SUMIFS('Payments Build'!$M$34:$M$72,'Payments Build'!$D$34:$D$72,$A26,'Payments Build'!$L$34:$L$72,"&gt;="&amp;I$5,'Payments Build'!$L$34:$L$72,"&lt;="&amp;I$6)+SUMIFS('Payments Build'!$M$77:$M$180,'Payments Build'!$D$77:$D$180,$A26,'Payments Build'!$L$77:$L$180,"&gt;="&amp;I$5,'Payments Build'!$L$77:$L$180,"&lt;="&amp;I$6)+SUMIFS('Payments Build'!$M$185:$M$210,'Payments Build'!$D$185:$D$210,$A26,'Payments Build'!$L$185:$L$210,"&gt;="&amp;I$5,'Payments Build'!$L$185:$L$210,"&lt;="&amp;I$6))</f>
        <v>-0</v>
      </c>
      <c r="J26" s="39" t="n">
        <f aca="false">-(SUMIFS('Payments Build'!$M$34:$M$72,'Payments Build'!$D$34:$D$72,$A26,'Payments Build'!$L$34:$L$72,"&gt;="&amp;J$5,'Payments Build'!$L$34:$L$72,"&lt;="&amp;J$6)+SUMIFS('Payments Build'!$M$77:$M$180,'Payments Build'!$D$77:$D$180,$A26,'Payments Build'!$L$77:$L$180,"&gt;="&amp;J$5,'Payments Build'!$L$77:$L$180,"&lt;="&amp;J$6)+SUMIFS('Payments Build'!$M$185:$M$210,'Payments Build'!$D$185:$D$210,$A26,'Payments Build'!$L$185:$L$210,"&gt;="&amp;J$5,'Payments Build'!$L$185:$L$210,"&lt;="&amp;J$6))</f>
        <v>-0</v>
      </c>
      <c r="K26" s="39" t="n">
        <f aca="false">-(SUMIFS('Payments Build'!$M$34:$M$72,'Payments Build'!$D$34:$D$72,$A26,'Payments Build'!$L$34:$L$72,"&gt;="&amp;K$5,'Payments Build'!$L$34:$L$72,"&lt;="&amp;K$6)+SUMIFS('Payments Build'!$M$77:$M$180,'Payments Build'!$D$77:$D$180,$A26,'Payments Build'!$L$77:$L$180,"&gt;="&amp;K$5,'Payments Build'!$L$77:$L$180,"&lt;="&amp;K$6)+SUMIFS('Payments Build'!$M$185:$M$210,'Payments Build'!$D$185:$D$210,$A26,'Payments Build'!$L$185:$L$210,"&gt;="&amp;K$5,'Payments Build'!$L$185:$L$210,"&lt;="&amp;K$6))</f>
        <v>-0</v>
      </c>
      <c r="L26" s="39" t="n">
        <f aca="false">-(SUMIFS('Payments Build'!$M$34:$M$72,'Payments Build'!$D$34:$D$72,$A26,'Payments Build'!$L$34:$L$72,"&gt;="&amp;L$5,'Payments Build'!$L$34:$L$72,"&lt;="&amp;L$6)+SUMIFS('Payments Build'!$M$77:$M$180,'Payments Build'!$D$77:$D$180,$A26,'Payments Build'!$L$77:$L$180,"&gt;="&amp;L$5,'Payments Build'!$L$77:$L$180,"&lt;="&amp;L$6)+SUMIFS('Payments Build'!$M$185:$M$210,'Payments Build'!$D$185:$D$210,$A26,'Payments Build'!$L$185:$L$210,"&gt;="&amp;L$5,'Payments Build'!$L$185:$L$210,"&lt;="&amp;L$6))</f>
        <v>-0</v>
      </c>
      <c r="M26" s="39" t="n">
        <f aca="false">-(SUMIFS('Payments Build'!$M$34:$M$72,'Payments Build'!$D$34:$D$72,$A26,'Payments Build'!$L$34:$L$72,"&gt;="&amp;M$5,'Payments Build'!$L$34:$L$72,"&lt;="&amp;M$6)+SUMIFS('Payments Build'!$M$77:$M$180,'Payments Build'!$D$77:$D$180,$A26,'Payments Build'!$L$77:$L$180,"&gt;="&amp;M$5,'Payments Build'!$L$77:$L$180,"&lt;="&amp;M$6)+SUMIFS('Payments Build'!$M$185:$M$210,'Payments Build'!$D$185:$D$210,$A26,'Payments Build'!$L$185:$L$210,"&gt;="&amp;M$5,'Payments Build'!$L$185:$L$210,"&lt;="&amp;M$6))</f>
        <v>-305</v>
      </c>
      <c r="N26" s="39" t="n">
        <f aca="false">-(SUMIFS('Payments Build'!$M$34:$M$72,'Payments Build'!$D$34:$D$72,$A26,'Payments Build'!$L$34:$L$72,"&gt;="&amp;N$5,'Payments Build'!$L$34:$L$72,"&lt;="&amp;N$6)+SUMIFS('Payments Build'!$M$77:$M$180,'Payments Build'!$D$77:$D$180,$A26,'Payments Build'!$L$77:$L$180,"&gt;="&amp;N$5,'Payments Build'!$L$77:$L$180,"&lt;="&amp;N$6)+SUMIFS('Payments Build'!$M$185:$M$210,'Payments Build'!$D$185:$D$210,$A26,'Payments Build'!$L$185:$L$210,"&gt;="&amp;N$5,'Payments Build'!$L$185:$L$210,"&lt;="&amp;N$6))</f>
        <v>-0</v>
      </c>
      <c r="O26" s="40" t="n">
        <f aca="false">SUM(B26:N26)</f>
        <v>-915</v>
      </c>
    </row>
    <row r="27" customFormat="false" ht="13.5" hidden="false" customHeight="true" outlineLevel="0" collapsed="false">
      <c r="A27" s="38" t="s">
        <v>125</v>
      </c>
      <c r="B27" s="39" t="n">
        <f aca="false">-(SUMIFS('Payments Build'!$M$34:$M$72,'Payments Build'!$D$34:$D$72,$A27,'Payments Build'!$L$34:$L$72,"&gt;="&amp;B$5,'Payments Build'!$L$34:$L$72,"&lt;="&amp;B$6)+SUMIFS('Payments Build'!$M$77:$M$180,'Payments Build'!$D$77:$D$180,$A27,'Payments Build'!$L$77:$L$180,"&gt;="&amp;B$5,'Payments Build'!$L$77:$L$180,"&lt;="&amp;B$6)+SUMIFS('Payments Build'!$M$185:$M$210,'Payments Build'!$D$185:$D$210,$A27,'Payments Build'!$L$185:$L$210,"&gt;="&amp;B$5,'Payments Build'!$L$185:$L$210,"&lt;="&amp;B$6))</f>
        <v>-0</v>
      </c>
      <c r="C27" s="39" t="n">
        <f aca="false">-(SUMIFS('Payments Build'!$M$34:$M$72,'Payments Build'!$D$34:$D$72,$A27,'Payments Build'!$L$34:$L$72,"&gt;="&amp;C$5,'Payments Build'!$L$34:$L$72,"&lt;="&amp;C$6)+SUMIFS('Payments Build'!$M$77:$M$180,'Payments Build'!$D$77:$D$180,$A27,'Payments Build'!$L$77:$L$180,"&gt;="&amp;C$5,'Payments Build'!$L$77:$L$180,"&lt;="&amp;C$6)+SUMIFS('Payments Build'!$M$185:$M$210,'Payments Build'!$D$185:$D$210,$A27,'Payments Build'!$L$185:$L$210,"&gt;="&amp;C$5,'Payments Build'!$L$185:$L$210,"&lt;="&amp;C$6))</f>
        <v>-0</v>
      </c>
      <c r="D27" s="39" t="n">
        <f aca="false">-(SUMIFS('Payments Build'!$M$34:$M$72,'Payments Build'!$D$34:$D$72,$A27,'Payments Build'!$L$34:$L$72,"&gt;="&amp;D$5,'Payments Build'!$L$34:$L$72,"&lt;="&amp;D$6)+SUMIFS('Payments Build'!$M$77:$M$180,'Payments Build'!$D$77:$D$180,$A27,'Payments Build'!$L$77:$L$180,"&gt;="&amp;D$5,'Payments Build'!$L$77:$L$180,"&lt;="&amp;D$6)+SUMIFS('Payments Build'!$M$185:$M$210,'Payments Build'!$D$185:$D$210,$A27,'Payments Build'!$L$185:$L$210,"&gt;="&amp;D$5,'Payments Build'!$L$185:$L$210,"&lt;="&amp;D$6))</f>
        <v>-228</v>
      </c>
      <c r="E27" s="39" t="n">
        <f aca="false">-(SUMIFS('Payments Build'!$M$34:$M$72,'Payments Build'!$D$34:$D$72,$A27,'Payments Build'!$L$34:$L$72,"&gt;="&amp;E$5,'Payments Build'!$L$34:$L$72,"&lt;="&amp;E$6)+SUMIFS('Payments Build'!$M$77:$M$180,'Payments Build'!$D$77:$D$180,$A27,'Payments Build'!$L$77:$L$180,"&gt;="&amp;E$5,'Payments Build'!$L$77:$L$180,"&lt;="&amp;E$6)+SUMIFS('Payments Build'!$M$185:$M$210,'Payments Build'!$D$185:$D$210,$A27,'Payments Build'!$L$185:$L$210,"&gt;="&amp;E$5,'Payments Build'!$L$185:$L$210,"&lt;="&amp;E$6))</f>
        <v>-0</v>
      </c>
      <c r="F27" s="39" t="n">
        <f aca="false">-(SUMIFS('Payments Build'!$M$34:$M$72,'Payments Build'!$D$34:$D$72,$A27,'Payments Build'!$L$34:$L$72,"&gt;="&amp;F$5,'Payments Build'!$L$34:$L$72,"&lt;="&amp;F$6)+SUMIFS('Payments Build'!$M$77:$M$180,'Payments Build'!$D$77:$D$180,$A27,'Payments Build'!$L$77:$L$180,"&gt;="&amp;F$5,'Payments Build'!$L$77:$L$180,"&lt;="&amp;F$6)+SUMIFS('Payments Build'!$M$185:$M$210,'Payments Build'!$D$185:$D$210,$A27,'Payments Build'!$L$185:$L$210,"&gt;="&amp;F$5,'Payments Build'!$L$185:$L$210,"&lt;="&amp;F$6))</f>
        <v>-0</v>
      </c>
      <c r="G27" s="39" t="n">
        <f aca="false">-(SUMIFS('Payments Build'!$M$34:$M$72,'Payments Build'!$D$34:$D$72,$A27,'Payments Build'!$L$34:$L$72,"&gt;="&amp;G$5,'Payments Build'!$L$34:$L$72,"&lt;="&amp;G$6)+SUMIFS('Payments Build'!$M$77:$M$180,'Payments Build'!$D$77:$D$180,$A27,'Payments Build'!$L$77:$L$180,"&gt;="&amp;G$5,'Payments Build'!$L$77:$L$180,"&lt;="&amp;G$6)+SUMIFS('Payments Build'!$M$185:$M$210,'Payments Build'!$D$185:$D$210,$A27,'Payments Build'!$L$185:$L$210,"&gt;="&amp;G$5,'Payments Build'!$L$185:$L$210,"&lt;="&amp;G$6))</f>
        <v>-0</v>
      </c>
      <c r="H27" s="39" t="n">
        <f aca="false">-(SUMIFS('Payments Build'!$M$34:$M$72,'Payments Build'!$D$34:$D$72,$A27,'Payments Build'!$L$34:$L$72,"&gt;="&amp;H$5,'Payments Build'!$L$34:$L$72,"&lt;="&amp;H$6)+SUMIFS('Payments Build'!$M$77:$M$180,'Payments Build'!$D$77:$D$180,$A27,'Payments Build'!$L$77:$L$180,"&gt;="&amp;H$5,'Payments Build'!$L$77:$L$180,"&lt;="&amp;H$6)+SUMIFS('Payments Build'!$M$185:$M$210,'Payments Build'!$D$185:$D$210,$A27,'Payments Build'!$L$185:$L$210,"&gt;="&amp;H$5,'Payments Build'!$L$185:$L$210,"&lt;="&amp;H$6))</f>
        <v>-0</v>
      </c>
      <c r="I27" s="39" t="n">
        <f aca="false">-(SUMIFS('Payments Build'!$M$34:$M$72,'Payments Build'!$D$34:$D$72,$A27,'Payments Build'!$L$34:$L$72,"&gt;="&amp;I$5,'Payments Build'!$L$34:$L$72,"&lt;="&amp;I$6)+SUMIFS('Payments Build'!$M$77:$M$180,'Payments Build'!$D$77:$D$180,$A27,'Payments Build'!$L$77:$L$180,"&gt;="&amp;I$5,'Payments Build'!$L$77:$L$180,"&lt;="&amp;I$6)+SUMIFS('Payments Build'!$M$185:$M$210,'Payments Build'!$D$185:$D$210,$A27,'Payments Build'!$L$185:$L$210,"&gt;="&amp;I$5,'Payments Build'!$L$185:$L$210,"&lt;="&amp;I$6))</f>
        <v>-228</v>
      </c>
      <c r="J27" s="39" t="n">
        <f aca="false">-(SUMIFS('Payments Build'!$M$34:$M$72,'Payments Build'!$D$34:$D$72,$A27,'Payments Build'!$L$34:$L$72,"&gt;="&amp;J$5,'Payments Build'!$L$34:$L$72,"&lt;="&amp;J$6)+SUMIFS('Payments Build'!$M$77:$M$180,'Payments Build'!$D$77:$D$180,$A27,'Payments Build'!$L$77:$L$180,"&gt;="&amp;J$5,'Payments Build'!$L$77:$L$180,"&lt;="&amp;J$6)+SUMIFS('Payments Build'!$M$185:$M$210,'Payments Build'!$D$185:$D$210,$A27,'Payments Build'!$L$185:$L$210,"&gt;="&amp;J$5,'Payments Build'!$L$185:$L$210,"&lt;="&amp;J$6))</f>
        <v>-0</v>
      </c>
      <c r="K27" s="39" t="n">
        <f aca="false">-(SUMIFS('Payments Build'!$M$34:$M$72,'Payments Build'!$D$34:$D$72,$A27,'Payments Build'!$L$34:$L$72,"&gt;="&amp;K$5,'Payments Build'!$L$34:$L$72,"&lt;="&amp;K$6)+SUMIFS('Payments Build'!$M$77:$M$180,'Payments Build'!$D$77:$D$180,$A27,'Payments Build'!$L$77:$L$180,"&gt;="&amp;K$5,'Payments Build'!$L$77:$L$180,"&lt;="&amp;K$6)+SUMIFS('Payments Build'!$M$185:$M$210,'Payments Build'!$D$185:$D$210,$A27,'Payments Build'!$L$185:$L$210,"&gt;="&amp;K$5,'Payments Build'!$L$185:$L$210,"&lt;="&amp;K$6))</f>
        <v>-0</v>
      </c>
      <c r="L27" s="39" t="n">
        <f aca="false">-(SUMIFS('Payments Build'!$M$34:$M$72,'Payments Build'!$D$34:$D$72,$A27,'Payments Build'!$L$34:$L$72,"&gt;="&amp;L$5,'Payments Build'!$L$34:$L$72,"&lt;="&amp;L$6)+SUMIFS('Payments Build'!$M$77:$M$180,'Payments Build'!$D$77:$D$180,$A27,'Payments Build'!$L$77:$L$180,"&gt;="&amp;L$5,'Payments Build'!$L$77:$L$180,"&lt;="&amp;L$6)+SUMIFS('Payments Build'!$M$185:$M$210,'Payments Build'!$D$185:$D$210,$A27,'Payments Build'!$L$185:$L$210,"&gt;="&amp;L$5,'Payments Build'!$L$185:$L$210,"&lt;="&amp;L$6))</f>
        <v>-0</v>
      </c>
      <c r="M27" s="39" t="n">
        <f aca="false">-(SUMIFS('Payments Build'!$M$34:$M$72,'Payments Build'!$D$34:$D$72,$A27,'Payments Build'!$L$34:$L$72,"&gt;="&amp;M$5,'Payments Build'!$L$34:$L$72,"&lt;="&amp;M$6)+SUMIFS('Payments Build'!$M$77:$M$180,'Payments Build'!$D$77:$D$180,$A27,'Payments Build'!$L$77:$L$180,"&gt;="&amp;M$5,'Payments Build'!$L$77:$L$180,"&lt;="&amp;M$6)+SUMIFS('Payments Build'!$M$185:$M$210,'Payments Build'!$D$185:$D$210,$A27,'Payments Build'!$L$185:$L$210,"&gt;="&amp;M$5,'Payments Build'!$L$185:$L$210,"&lt;="&amp;M$6))</f>
        <v>-228</v>
      </c>
      <c r="N27" s="39" t="n">
        <f aca="false">-(SUMIFS('Payments Build'!$M$34:$M$72,'Payments Build'!$D$34:$D$72,$A27,'Payments Build'!$L$34:$L$72,"&gt;="&amp;N$5,'Payments Build'!$L$34:$L$72,"&lt;="&amp;N$6)+SUMIFS('Payments Build'!$M$77:$M$180,'Payments Build'!$D$77:$D$180,$A27,'Payments Build'!$L$77:$L$180,"&gt;="&amp;N$5,'Payments Build'!$L$77:$L$180,"&lt;="&amp;N$6)+SUMIFS('Payments Build'!$M$185:$M$210,'Payments Build'!$D$185:$D$210,$A27,'Payments Build'!$L$185:$L$210,"&gt;="&amp;N$5,'Payments Build'!$L$185:$L$210,"&lt;="&amp;N$6))</f>
        <v>-0</v>
      </c>
      <c r="O27" s="40" t="n">
        <f aca="false">SUM(B27:N27)</f>
        <v>-684</v>
      </c>
    </row>
    <row r="28" customFormat="false" ht="13.5" hidden="false" customHeight="true" outlineLevel="0" collapsed="false">
      <c r="A28" s="38" t="s">
        <v>126</v>
      </c>
      <c r="B28" s="39" t="n">
        <f aca="false">-(SUMIFS('Payments Build'!$M$34:$M$72,'Payments Build'!$D$34:$D$72,$A28,'Payments Build'!$L$34:$L$72,"&gt;="&amp;B$5,'Payments Build'!$L$34:$L$72,"&lt;="&amp;B$6)+SUMIFS('Payments Build'!$M$77:$M$180,'Payments Build'!$D$77:$D$180,$A28,'Payments Build'!$L$77:$L$180,"&gt;="&amp;B$5,'Payments Build'!$L$77:$L$180,"&lt;="&amp;B$6)+SUMIFS('Payments Build'!$M$185:$M$210,'Payments Build'!$D$185:$D$210,$A28,'Payments Build'!$L$185:$L$210,"&gt;="&amp;B$5,'Payments Build'!$L$185:$L$210,"&lt;="&amp;B$6))</f>
        <v>-0</v>
      </c>
      <c r="C28" s="39" t="n">
        <f aca="false">-(SUMIFS('Payments Build'!$M$34:$M$72,'Payments Build'!$D$34:$D$72,$A28,'Payments Build'!$L$34:$L$72,"&gt;="&amp;C$5,'Payments Build'!$L$34:$L$72,"&lt;="&amp;C$6)+SUMIFS('Payments Build'!$M$77:$M$180,'Payments Build'!$D$77:$D$180,$A28,'Payments Build'!$L$77:$L$180,"&gt;="&amp;C$5,'Payments Build'!$L$77:$L$180,"&lt;="&amp;C$6)+SUMIFS('Payments Build'!$M$185:$M$210,'Payments Build'!$D$185:$D$210,$A28,'Payments Build'!$L$185:$L$210,"&gt;="&amp;C$5,'Payments Build'!$L$185:$L$210,"&lt;="&amp;C$6))</f>
        <v>-0</v>
      </c>
      <c r="D28" s="39" t="n">
        <f aca="false">-(SUMIFS('Payments Build'!$M$34:$M$72,'Payments Build'!$D$34:$D$72,$A28,'Payments Build'!$L$34:$L$72,"&gt;="&amp;D$5,'Payments Build'!$L$34:$L$72,"&lt;="&amp;D$6)+SUMIFS('Payments Build'!$M$77:$M$180,'Payments Build'!$D$77:$D$180,$A28,'Payments Build'!$L$77:$L$180,"&gt;="&amp;D$5,'Payments Build'!$L$77:$L$180,"&lt;="&amp;D$6)+SUMIFS('Payments Build'!$M$185:$M$210,'Payments Build'!$D$185:$D$210,$A28,'Payments Build'!$L$185:$L$210,"&gt;="&amp;D$5,'Payments Build'!$L$185:$L$210,"&lt;="&amp;D$6))</f>
        <v>-0</v>
      </c>
      <c r="E28" s="39" t="n">
        <f aca="false">-(SUMIFS('Payments Build'!$M$34:$M$72,'Payments Build'!$D$34:$D$72,$A28,'Payments Build'!$L$34:$L$72,"&gt;="&amp;E$5,'Payments Build'!$L$34:$L$72,"&lt;="&amp;E$6)+SUMIFS('Payments Build'!$M$77:$M$180,'Payments Build'!$D$77:$D$180,$A28,'Payments Build'!$L$77:$L$180,"&gt;="&amp;E$5,'Payments Build'!$L$77:$L$180,"&lt;="&amp;E$6)+SUMIFS('Payments Build'!$M$185:$M$210,'Payments Build'!$D$185:$D$210,$A28,'Payments Build'!$L$185:$L$210,"&gt;="&amp;E$5,'Payments Build'!$L$185:$L$210,"&lt;="&amp;E$6))</f>
        <v>-0</v>
      </c>
      <c r="F28" s="39" t="n">
        <f aca="false">-(SUMIFS('Payments Build'!$M$34:$M$72,'Payments Build'!$D$34:$D$72,$A28,'Payments Build'!$L$34:$L$72,"&gt;="&amp;F$5,'Payments Build'!$L$34:$L$72,"&lt;="&amp;F$6)+SUMIFS('Payments Build'!$M$77:$M$180,'Payments Build'!$D$77:$D$180,$A28,'Payments Build'!$L$77:$L$180,"&gt;="&amp;F$5,'Payments Build'!$L$77:$L$180,"&lt;="&amp;F$6)+SUMIFS('Payments Build'!$M$185:$M$210,'Payments Build'!$D$185:$D$210,$A28,'Payments Build'!$L$185:$L$210,"&gt;="&amp;F$5,'Payments Build'!$L$185:$L$210,"&lt;="&amp;F$6))</f>
        <v>-0</v>
      </c>
      <c r="G28" s="39" t="n">
        <f aca="false">-(SUMIFS('Payments Build'!$M$34:$M$72,'Payments Build'!$D$34:$D$72,$A28,'Payments Build'!$L$34:$L$72,"&gt;="&amp;G$5,'Payments Build'!$L$34:$L$72,"&lt;="&amp;G$6)+SUMIFS('Payments Build'!$M$77:$M$180,'Payments Build'!$D$77:$D$180,$A28,'Payments Build'!$L$77:$L$180,"&gt;="&amp;G$5,'Payments Build'!$L$77:$L$180,"&lt;="&amp;G$6)+SUMIFS('Payments Build'!$M$185:$M$210,'Payments Build'!$D$185:$D$210,$A28,'Payments Build'!$L$185:$L$210,"&gt;="&amp;G$5,'Payments Build'!$L$185:$L$210,"&lt;="&amp;G$6))</f>
        <v>-0</v>
      </c>
      <c r="H28" s="39" t="n">
        <f aca="false">-(SUMIFS('Payments Build'!$M$34:$M$72,'Payments Build'!$D$34:$D$72,$A28,'Payments Build'!$L$34:$L$72,"&gt;="&amp;H$5,'Payments Build'!$L$34:$L$72,"&lt;="&amp;H$6)+SUMIFS('Payments Build'!$M$77:$M$180,'Payments Build'!$D$77:$D$180,$A28,'Payments Build'!$L$77:$L$180,"&gt;="&amp;H$5,'Payments Build'!$L$77:$L$180,"&lt;="&amp;H$6)+SUMIFS('Payments Build'!$M$185:$M$210,'Payments Build'!$D$185:$D$210,$A28,'Payments Build'!$L$185:$L$210,"&gt;="&amp;H$5,'Payments Build'!$L$185:$L$210,"&lt;="&amp;H$6))</f>
        <v>-0</v>
      </c>
      <c r="I28" s="39" t="n">
        <f aca="false">-(SUMIFS('Payments Build'!$M$34:$M$72,'Payments Build'!$D$34:$D$72,$A28,'Payments Build'!$L$34:$L$72,"&gt;="&amp;I$5,'Payments Build'!$L$34:$L$72,"&lt;="&amp;I$6)+SUMIFS('Payments Build'!$M$77:$M$180,'Payments Build'!$D$77:$D$180,$A28,'Payments Build'!$L$77:$L$180,"&gt;="&amp;I$5,'Payments Build'!$L$77:$L$180,"&lt;="&amp;I$6)+SUMIFS('Payments Build'!$M$185:$M$210,'Payments Build'!$D$185:$D$210,$A28,'Payments Build'!$L$185:$L$210,"&gt;="&amp;I$5,'Payments Build'!$L$185:$L$210,"&lt;="&amp;I$6))</f>
        <v>-96</v>
      </c>
      <c r="J28" s="39" t="n">
        <f aca="false">-(SUMIFS('Payments Build'!$M$34:$M$72,'Payments Build'!$D$34:$D$72,$A28,'Payments Build'!$L$34:$L$72,"&gt;="&amp;J$5,'Payments Build'!$L$34:$L$72,"&lt;="&amp;J$6)+SUMIFS('Payments Build'!$M$77:$M$180,'Payments Build'!$D$77:$D$180,$A28,'Payments Build'!$L$77:$L$180,"&gt;="&amp;J$5,'Payments Build'!$L$77:$L$180,"&lt;="&amp;J$6)+SUMIFS('Payments Build'!$M$185:$M$210,'Payments Build'!$D$185:$D$210,$A28,'Payments Build'!$L$185:$L$210,"&gt;="&amp;J$5,'Payments Build'!$L$185:$L$210,"&lt;="&amp;J$6))</f>
        <v>-0</v>
      </c>
      <c r="K28" s="39" t="n">
        <f aca="false">-(SUMIFS('Payments Build'!$M$34:$M$72,'Payments Build'!$D$34:$D$72,$A28,'Payments Build'!$L$34:$L$72,"&gt;="&amp;K$5,'Payments Build'!$L$34:$L$72,"&lt;="&amp;K$6)+SUMIFS('Payments Build'!$M$77:$M$180,'Payments Build'!$D$77:$D$180,$A28,'Payments Build'!$L$77:$L$180,"&gt;="&amp;K$5,'Payments Build'!$L$77:$L$180,"&lt;="&amp;K$6)+SUMIFS('Payments Build'!$M$185:$M$210,'Payments Build'!$D$185:$D$210,$A28,'Payments Build'!$L$185:$L$210,"&gt;="&amp;K$5,'Payments Build'!$L$185:$L$210,"&lt;="&amp;K$6))</f>
        <v>-0</v>
      </c>
      <c r="L28" s="39" t="n">
        <f aca="false">-(SUMIFS('Payments Build'!$M$34:$M$72,'Payments Build'!$D$34:$D$72,$A28,'Payments Build'!$L$34:$L$72,"&gt;="&amp;L$5,'Payments Build'!$L$34:$L$72,"&lt;="&amp;L$6)+SUMIFS('Payments Build'!$M$77:$M$180,'Payments Build'!$D$77:$D$180,$A28,'Payments Build'!$L$77:$L$180,"&gt;="&amp;L$5,'Payments Build'!$L$77:$L$180,"&lt;="&amp;L$6)+SUMIFS('Payments Build'!$M$185:$M$210,'Payments Build'!$D$185:$D$210,$A28,'Payments Build'!$L$185:$L$210,"&gt;="&amp;L$5,'Payments Build'!$L$185:$L$210,"&lt;="&amp;L$6))</f>
        <v>-0</v>
      </c>
      <c r="M28" s="39" t="n">
        <f aca="false">-(SUMIFS('Payments Build'!$M$34:$M$72,'Payments Build'!$D$34:$D$72,$A28,'Payments Build'!$L$34:$L$72,"&gt;="&amp;M$5,'Payments Build'!$L$34:$L$72,"&lt;="&amp;M$6)+SUMIFS('Payments Build'!$M$77:$M$180,'Payments Build'!$D$77:$D$180,$A28,'Payments Build'!$L$77:$L$180,"&gt;="&amp;M$5,'Payments Build'!$L$77:$L$180,"&lt;="&amp;M$6)+SUMIFS('Payments Build'!$M$185:$M$210,'Payments Build'!$D$185:$D$210,$A28,'Payments Build'!$L$185:$L$210,"&gt;="&amp;M$5,'Payments Build'!$L$185:$L$210,"&lt;="&amp;M$6))</f>
        <v>-0</v>
      </c>
      <c r="N28" s="39" t="n">
        <f aca="false">-(SUMIFS('Payments Build'!$M$34:$M$72,'Payments Build'!$D$34:$D$72,$A28,'Payments Build'!$L$34:$L$72,"&gt;="&amp;N$5,'Payments Build'!$L$34:$L$72,"&lt;="&amp;N$6)+SUMIFS('Payments Build'!$M$77:$M$180,'Payments Build'!$D$77:$D$180,$A28,'Payments Build'!$L$77:$L$180,"&gt;="&amp;N$5,'Payments Build'!$L$77:$L$180,"&lt;="&amp;N$6)+SUMIFS('Payments Build'!$M$185:$M$210,'Payments Build'!$D$185:$D$210,$A28,'Payments Build'!$L$185:$L$210,"&gt;="&amp;N$5,'Payments Build'!$L$185:$L$210,"&lt;="&amp;N$6))</f>
        <v>-183</v>
      </c>
      <c r="O28" s="40" t="n">
        <f aca="false">SUM(B28:N28)</f>
        <v>-279</v>
      </c>
    </row>
    <row r="29" customFormat="false" ht="13.5" hidden="false" customHeight="true" outlineLevel="0" collapsed="false">
      <c r="A29" s="38" t="s">
        <v>127</v>
      </c>
      <c r="B29" s="39" t="n">
        <f aca="false">-(SUMIFS('Payments Build'!$M$34:$M$72,'Payments Build'!$D$34:$D$72,$A29,'Payments Build'!$L$34:$L$72,"&gt;="&amp;B$5,'Payments Build'!$L$34:$L$72,"&lt;="&amp;B$6)+SUMIFS('Payments Build'!$M$77:$M$180,'Payments Build'!$D$77:$D$180,$A29,'Payments Build'!$L$77:$L$180,"&gt;="&amp;B$5,'Payments Build'!$L$77:$L$180,"&lt;="&amp;B$6)+SUMIFS('Payments Build'!$M$185:$M$210,'Payments Build'!$D$185:$D$210,$A29,'Payments Build'!$L$185:$L$210,"&gt;="&amp;B$5,'Payments Build'!$L$185:$L$210,"&lt;="&amp;B$6))</f>
        <v>-0</v>
      </c>
      <c r="C29" s="39" t="n">
        <f aca="false">-(SUMIFS('Payments Build'!$M$34:$M$72,'Payments Build'!$D$34:$D$72,$A29,'Payments Build'!$L$34:$L$72,"&gt;="&amp;C$5,'Payments Build'!$L$34:$L$72,"&lt;="&amp;C$6)+SUMIFS('Payments Build'!$M$77:$M$180,'Payments Build'!$D$77:$D$180,$A29,'Payments Build'!$L$77:$L$180,"&gt;="&amp;C$5,'Payments Build'!$L$77:$L$180,"&lt;="&amp;C$6)+SUMIFS('Payments Build'!$M$185:$M$210,'Payments Build'!$D$185:$D$210,$A29,'Payments Build'!$L$185:$L$210,"&gt;="&amp;C$5,'Payments Build'!$L$185:$L$210,"&lt;="&amp;C$6))</f>
        <v>-58</v>
      </c>
      <c r="D29" s="39" t="n">
        <f aca="false">-(SUMIFS('Payments Build'!$M$34:$M$72,'Payments Build'!$D$34:$D$72,$A29,'Payments Build'!$L$34:$L$72,"&gt;="&amp;D$5,'Payments Build'!$L$34:$L$72,"&lt;="&amp;D$6)+SUMIFS('Payments Build'!$M$77:$M$180,'Payments Build'!$D$77:$D$180,$A29,'Payments Build'!$L$77:$L$180,"&gt;="&amp;D$5,'Payments Build'!$L$77:$L$180,"&lt;="&amp;D$6)+SUMIFS('Payments Build'!$M$185:$M$210,'Payments Build'!$D$185:$D$210,$A29,'Payments Build'!$L$185:$L$210,"&gt;="&amp;D$5,'Payments Build'!$L$185:$L$210,"&lt;="&amp;D$6))</f>
        <v>-0</v>
      </c>
      <c r="E29" s="39" t="n">
        <f aca="false">-(SUMIFS('Payments Build'!$M$34:$M$72,'Payments Build'!$D$34:$D$72,$A29,'Payments Build'!$L$34:$L$72,"&gt;="&amp;E$5,'Payments Build'!$L$34:$L$72,"&lt;="&amp;E$6)+SUMIFS('Payments Build'!$M$77:$M$180,'Payments Build'!$D$77:$D$180,$A29,'Payments Build'!$L$77:$L$180,"&gt;="&amp;E$5,'Payments Build'!$L$77:$L$180,"&lt;="&amp;E$6)+SUMIFS('Payments Build'!$M$185:$M$210,'Payments Build'!$D$185:$D$210,$A29,'Payments Build'!$L$185:$L$210,"&gt;="&amp;E$5,'Payments Build'!$L$185:$L$210,"&lt;="&amp;E$6))</f>
        <v>-0</v>
      </c>
      <c r="F29" s="39" t="n">
        <f aca="false">-(SUMIFS('Payments Build'!$M$34:$M$72,'Payments Build'!$D$34:$D$72,$A29,'Payments Build'!$L$34:$L$72,"&gt;="&amp;F$5,'Payments Build'!$L$34:$L$72,"&lt;="&amp;F$6)+SUMIFS('Payments Build'!$M$77:$M$180,'Payments Build'!$D$77:$D$180,$A29,'Payments Build'!$L$77:$L$180,"&gt;="&amp;F$5,'Payments Build'!$L$77:$L$180,"&lt;="&amp;F$6)+SUMIFS('Payments Build'!$M$185:$M$210,'Payments Build'!$D$185:$D$210,$A29,'Payments Build'!$L$185:$L$210,"&gt;="&amp;F$5,'Payments Build'!$L$185:$L$210,"&lt;="&amp;F$6))</f>
        <v>-0</v>
      </c>
      <c r="G29" s="39" t="n">
        <f aca="false">-(SUMIFS('Payments Build'!$M$34:$M$72,'Payments Build'!$D$34:$D$72,$A29,'Payments Build'!$L$34:$L$72,"&gt;="&amp;G$5,'Payments Build'!$L$34:$L$72,"&lt;="&amp;G$6)+SUMIFS('Payments Build'!$M$77:$M$180,'Payments Build'!$D$77:$D$180,$A29,'Payments Build'!$L$77:$L$180,"&gt;="&amp;G$5,'Payments Build'!$L$77:$L$180,"&lt;="&amp;G$6)+SUMIFS('Payments Build'!$M$185:$M$210,'Payments Build'!$D$185:$D$210,$A29,'Payments Build'!$L$185:$L$210,"&gt;="&amp;G$5,'Payments Build'!$L$185:$L$210,"&lt;="&amp;G$6))</f>
        <v>-58</v>
      </c>
      <c r="H29" s="39" t="n">
        <f aca="false">-(SUMIFS('Payments Build'!$M$34:$M$72,'Payments Build'!$D$34:$D$72,$A29,'Payments Build'!$L$34:$L$72,"&gt;="&amp;H$5,'Payments Build'!$L$34:$L$72,"&lt;="&amp;H$6)+SUMIFS('Payments Build'!$M$77:$M$180,'Payments Build'!$D$77:$D$180,$A29,'Payments Build'!$L$77:$L$180,"&gt;="&amp;H$5,'Payments Build'!$L$77:$L$180,"&lt;="&amp;H$6)+SUMIFS('Payments Build'!$M$185:$M$210,'Payments Build'!$D$185:$D$210,$A29,'Payments Build'!$L$185:$L$210,"&gt;="&amp;H$5,'Payments Build'!$L$185:$L$210,"&lt;="&amp;H$6))</f>
        <v>-0</v>
      </c>
      <c r="I29" s="39" t="n">
        <f aca="false">-(SUMIFS('Payments Build'!$M$34:$M$72,'Payments Build'!$D$34:$D$72,$A29,'Payments Build'!$L$34:$L$72,"&gt;="&amp;I$5,'Payments Build'!$L$34:$L$72,"&lt;="&amp;I$6)+SUMIFS('Payments Build'!$M$77:$M$180,'Payments Build'!$D$77:$D$180,$A29,'Payments Build'!$L$77:$L$180,"&gt;="&amp;I$5,'Payments Build'!$L$77:$L$180,"&lt;="&amp;I$6)+SUMIFS('Payments Build'!$M$185:$M$210,'Payments Build'!$D$185:$D$210,$A29,'Payments Build'!$L$185:$L$210,"&gt;="&amp;I$5,'Payments Build'!$L$185:$L$210,"&lt;="&amp;I$6))</f>
        <v>-0</v>
      </c>
      <c r="J29" s="39" t="n">
        <f aca="false">-(SUMIFS('Payments Build'!$M$34:$M$72,'Payments Build'!$D$34:$D$72,$A29,'Payments Build'!$L$34:$L$72,"&gt;="&amp;J$5,'Payments Build'!$L$34:$L$72,"&lt;="&amp;J$6)+SUMIFS('Payments Build'!$M$77:$M$180,'Payments Build'!$D$77:$D$180,$A29,'Payments Build'!$L$77:$L$180,"&gt;="&amp;J$5,'Payments Build'!$L$77:$L$180,"&lt;="&amp;J$6)+SUMIFS('Payments Build'!$M$185:$M$210,'Payments Build'!$D$185:$D$210,$A29,'Payments Build'!$L$185:$L$210,"&gt;="&amp;J$5,'Payments Build'!$L$185:$L$210,"&lt;="&amp;J$6))</f>
        <v>-0</v>
      </c>
      <c r="K29" s="39" t="n">
        <f aca="false">-(SUMIFS('Payments Build'!$M$34:$M$72,'Payments Build'!$D$34:$D$72,$A29,'Payments Build'!$L$34:$L$72,"&gt;="&amp;K$5,'Payments Build'!$L$34:$L$72,"&lt;="&amp;K$6)+SUMIFS('Payments Build'!$M$77:$M$180,'Payments Build'!$D$77:$D$180,$A29,'Payments Build'!$L$77:$L$180,"&gt;="&amp;K$5,'Payments Build'!$L$77:$L$180,"&lt;="&amp;K$6)+SUMIFS('Payments Build'!$M$185:$M$210,'Payments Build'!$D$185:$D$210,$A29,'Payments Build'!$L$185:$L$210,"&gt;="&amp;K$5,'Payments Build'!$L$185:$L$210,"&lt;="&amp;K$6))</f>
        <v>-58</v>
      </c>
      <c r="L29" s="39" t="n">
        <f aca="false">-(SUMIFS('Payments Build'!$M$34:$M$72,'Payments Build'!$D$34:$D$72,$A29,'Payments Build'!$L$34:$L$72,"&gt;="&amp;L$5,'Payments Build'!$L$34:$L$72,"&lt;="&amp;L$6)+SUMIFS('Payments Build'!$M$77:$M$180,'Payments Build'!$D$77:$D$180,$A29,'Payments Build'!$L$77:$L$180,"&gt;="&amp;L$5,'Payments Build'!$L$77:$L$180,"&lt;="&amp;L$6)+SUMIFS('Payments Build'!$M$185:$M$210,'Payments Build'!$D$185:$D$210,$A29,'Payments Build'!$L$185:$L$210,"&gt;="&amp;L$5,'Payments Build'!$L$185:$L$210,"&lt;="&amp;L$6))</f>
        <v>-0</v>
      </c>
      <c r="M29" s="39" t="n">
        <f aca="false">-(SUMIFS('Payments Build'!$M$34:$M$72,'Payments Build'!$D$34:$D$72,$A29,'Payments Build'!$L$34:$L$72,"&gt;="&amp;M$5,'Payments Build'!$L$34:$L$72,"&lt;="&amp;M$6)+SUMIFS('Payments Build'!$M$77:$M$180,'Payments Build'!$D$77:$D$180,$A29,'Payments Build'!$L$77:$L$180,"&gt;="&amp;M$5,'Payments Build'!$L$77:$L$180,"&lt;="&amp;M$6)+SUMIFS('Payments Build'!$M$185:$M$210,'Payments Build'!$D$185:$D$210,$A29,'Payments Build'!$L$185:$L$210,"&gt;="&amp;M$5,'Payments Build'!$L$185:$L$210,"&lt;="&amp;M$6))</f>
        <v>-0</v>
      </c>
      <c r="N29" s="39" t="n">
        <f aca="false">-(SUMIFS('Payments Build'!$M$34:$M$72,'Payments Build'!$D$34:$D$72,$A29,'Payments Build'!$L$34:$L$72,"&gt;="&amp;N$5,'Payments Build'!$L$34:$L$72,"&lt;="&amp;N$6)+SUMIFS('Payments Build'!$M$77:$M$180,'Payments Build'!$D$77:$D$180,$A29,'Payments Build'!$L$77:$L$180,"&gt;="&amp;N$5,'Payments Build'!$L$77:$L$180,"&lt;="&amp;N$6)+SUMIFS('Payments Build'!$M$185:$M$210,'Payments Build'!$D$185:$D$210,$A29,'Payments Build'!$L$185:$L$210,"&gt;="&amp;N$5,'Payments Build'!$L$185:$L$210,"&lt;="&amp;N$6))</f>
        <v>-0</v>
      </c>
      <c r="O29" s="40" t="n">
        <f aca="false">SUM(B29:N29)</f>
        <v>-174</v>
      </c>
    </row>
    <row r="30" customFormat="false" ht="13.5" hidden="false" customHeight="true" outlineLevel="0" collapsed="false">
      <c r="A30" s="38" t="s">
        <v>128</v>
      </c>
      <c r="B30" s="39" t="n">
        <f aca="false">-(SUMIFS('Payments Build'!$M$34:$M$72,'Payments Build'!$D$34:$D$72,$A30,'Payments Build'!$L$34:$L$72,"&gt;="&amp;B$5,'Payments Build'!$L$34:$L$72,"&lt;="&amp;B$6)+SUMIFS('Payments Build'!$M$77:$M$180,'Payments Build'!$D$77:$D$180,$A30,'Payments Build'!$L$77:$L$180,"&gt;="&amp;B$5,'Payments Build'!$L$77:$L$180,"&lt;="&amp;B$6)+SUMIFS('Payments Build'!$M$185:$M$210,'Payments Build'!$D$185:$D$210,$A30,'Payments Build'!$L$185:$L$210,"&gt;="&amp;B$5,'Payments Build'!$L$185:$L$210,"&lt;="&amp;B$6))</f>
        <v>-0</v>
      </c>
      <c r="C30" s="39" t="n">
        <f aca="false">-(SUMIFS('Payments Build'!$M$34:$M$72,'Payments Build'!$D$34:$D$72,$A30,'Payments Build'!$L$34:$L$72,"&gt;="&amp;C$5,'Payments Build'!$L$34:$L$72,"&lt;="&amp;C$6)+SUMIFS('Payments Build'!$M$77:$M$180,'Payments Build'!$D$77:$D$180,$A30,'Payments Build'!$L$77:$L$180,"&gt;="&amp;C$5,'Payments Build'!$L$77:$L$180,"&lt;="&amp;C$6)+SUMIFS('Payments Build'!$M$185:$M$210,'Payments Build'!$D$185:$D$210,$A30,'Payments Build'!$L$185:$L$210,"&gt;="&amp;C$5,'Payments Build'!$L$185:$L$210,"&lt;="&amp;C$6))</f>
        <v>-0</v>
      </c>
      <c r="D30" s="39" t="n">
        <f aca="false">-(SUMIFS('Payments Build'!$M$34:$M$72,'Payments Build'!$D$34:$D$72,$A30,'Payments Build'!$L$34:$L$72,"&gt;="&amp;D$5,'Payments Build'!$L$34:$L$72,"&lt;="&amp;D$6)+SUMIFS('Payments Build'!$M$77:$M$180,'Payments Build'!$D$77:$D$180,$A30,'Payments Build'!$L$77:$L$180,"&gt;="&amp;D$5,'Payments Build'!$L$77:$L$180,"&lt;="&amp;D$6)+SUMIFS('Payments Build'!$M$185:$M$210,'Payments Build'!$D$185:$D$210,$A30,'Payments Build'!$L$185:$L$210,"&gt;="&amp;D$5,'Payments Build'!$L$185:$L$210,"&lt;="&amp;D$6))</f>
        <v>-0</v>
      </c>
      <c r="E30" s="39" t="n">
        <f aca="false">-(SUMIFS('Payments Build'!$M$34:$M$72,'Payments Build'!$D$34:$D$72,$A30,'Payments Build'!$L$34:$L$72,"&gt;="&amp;E$5,'Payments Build'!$L$34:$L$72,"&lt;="&amp;E$6)+SUMIFS('Payments Build'!$M$77:$M$180,'Payments Build'!$D$77:$D$180,$A30,'Payments Build'!$L$77:$L$180,"&gt;="&amp;E$5,'Payments Build'!$L$77:$L$180,"&lt;="&amp;E$6)+SUMIFS('Payments Build'!$M$185:$M$210,'Payments Build'!$D$185:$D$210,$A30,'Payments Build'!$L$185:$L$210,"&gt;="&amp;E$5,'Payments Build'!$L$185:$L$210,"&lt;="&amp;E$6))</f>
        <v>-0</v>
      </c>
      <c r="F30" s="39" t="n">
        <f aca="false">-(SUMIFS('Payments Build'!$M$34:$M$72,'Payments Build'!$D$34:$D$72,$A30,'Payments Build'!$L$34:$L$72,"&gt;="&amp;F$5,'Payments Build'!$L$34:$L$72,"&lt;="&amp;F$6)+SUMIFS('Payments Build'!$M$77:$M$180,'Payments Build'!$D$77:$D$180,$A30,'Payments Build'!$L$77:$L$180,"&gt;="&amp;F$5,'Payments Build'!$L$77:$L$180,"&lt;="&amp;F$6)+SUMIFS('Payments Build'!$M$185:$M$210,'Payments Build'!$D$185:$D$210,$A30,'Payments Build'!$L$185:$L$210,"&gt;="&amp;F$5,'Payments Build'!$L$185:$L$210,"&lt;="&amp;F$6))</f>
        <v>-64</v>
      </c>
      <c r="G30" s="39" t="n">
        <f aca="false">-(SUMIFS('Payments Build'!$M$34:$M$72,'Payments Build'!$D$34:$D$72,$A30,'Payments Build'!$L$34:$L$72,"&gt;="&amp;G$5,'Payments Build'!$L$34:$L$72,"&lt;="&amp;G$6)+SUMIFS('Payments Build'!$M$77:$M$180,'Payments Build'!$D$77:$D$180,$A30,'Payments Build'!$L$77:$L$180,"&gt;="&amp;G$5,'Payments Build'!$L$77:$L$180,"&lt;="&amp;G$6)+SUMIFS('Payments Build'!$M$185:$M$210,'Payments Build'!$D$185:$D$210,$A30,'Payments Build'!$L$185:$L$210,"&gt;="&amp;G$5,'Payments Build'!$L$185:$L$210,"&lt;="&amp;G$6))</f>
        <v>-0</v>
      </c>
      <c r="H30" s="39" t="n">
        <f aca="false">-(SUMIFS('Payments Build'!$M$34:$M$72,'Payments Build'!$D$34:$D$72,$A30,'Payments Build'!$L$34:$L$72,"&gt;="&amp;H$5,'Payments Build'!$L$34:$L$72,"&lt;="&amp;H$6)+SUMIFS('Payments Build'!$M$77:$M$180,'Payments Build'!$D$77:$D$180,$A30,'Payments Build'!$L$77:$L$180,"&gt;="&amp;H$5,'Payments Build'!$L$77:$L$180,"&lt;="&amp;H$6)+SUMIFS('Payments Build'!$M$185:$M$210,'Payments Build'!$D$185:$D$210,$A30,'Payments Build'!$L$185:$L$210,"&gt;="&amp;H$5,'Payments Build'!$L$185:$L$210,"&lt;="&amp;H$6))</f>
        <v>-0</v>
      </c>
      <c r="I30" s="39" t="n">
        <f aca="false">-(SUMIFS('Payments Build'!$M$34:$M$72,'Payments Build'!$D$34:$D$72,$A30,'Payments Build'!$L$34:$L$72,"&gt;="&amp;I$5,'Payments Build'!$L$34:$L$72,"&lt;="&amp;I$6)+SUMIFS('Payments Build'!$M$77:$M$180,'Payments Build'!$D$77:$D$180,$A30,'Payments Build'!$L$77:$L$180,"&gt;="&amp;I$5,'Payments Build'!$L$77:$L$180,"&lt;="&amp;I$6)+SUMIFS('Payments Build'!$M$185:$M$210,'Payments Build'!$D$185:$D$210,$A30,'Payments Build'!$L$185:$L$210,"&gt;="&amp;I$5,'Payments Build'!$L$185:$L$210,"&lt;="&amp;I$6))</f>
        <v>-0</v>
      </c>
      <c r="J30" s="39" t="n">
        <f aca="false">-(SUMIFS('Payments Build'!$M$34:$M$72,'Payments Build'!$D$34:$D$72,$A30,'Payments Build'!$L$34:$L$72,"&gt;="&amp;J$5,'Payments Build'!$L$34:$L$72,"&lt;="&amp;J$6)+SUMIFS('Payments Build'!$M$77:$M$180,'Payments Build'!$D$77:$D$180,$A30,'Payments Build'!$L$77:$L$180,"&gt;="&amp;J$5,'Payments Build'!$L$77:$L$180,"&lt;="&amp;J$6)+SUMIFS('Payments Build'!$M$185:$M$210,'Payments Build'!$D$185:$D$210,$A30,'Payments Build'!$L$185:$L$210,"&gt;="&amp;J$5,'Payments Build'!$L$185:$L$210,"&lt;="&amp;J$6))</f>
        <v>-64</v>
      </c>
      <c r="K30" s="39" t="n">
        <f aca="false">-(SUMIFS('Payments Build'!$M$34:$M$72,'Payments Build'!$D$34:$D$72,$A30,'Payments Build'!$L$34:$L$72,"&gt;="&amp;K$5,'Payments Build'!$L$34:$L$72,"&lt;="&amp;K$6)+SUMIFS('Payments Build'!$M$77:$M$180,'Payments Build'!$D$77:$D$180,$A30,'Payments Build'!$L$77:$L$180,"&gt;="&amp;K$5,'Payments Build'!$L$77:$L$180,"&lt;="&amp;K$6)+SUMIFS('Payments Build'!$M$185:$M$210,'Payments Build'!$D$185:$D$210,$A30,'Payments Build'!$L$185:$L$210,"&gt;="&amp;K$5,'Payments Build'!$L$185:$L$210,"&lt;="&amp;K$6))</f>
        <v>-0</v>
      </c>
      <c r="L30" s="39" t="n">
        <f aca="false">-(SUMIFS('Payments Build'!$M$34:$M$72,'Payments Build'!$D$34:$D$72,$A30,'Payments Build'!$L$34:$L$72,"&gt;="&amp;L$5,'Payments Build'!$L$34:$L$72,"&lt;="&amp;L$6)+SUMIFS('Payments Build'!$M$77:$M$180,'Payments Build'!$D$77:$D$180,$A30,'Payments Build'!$L$77:$L$180,"&gt;="&amp;L$5,'Payments Build'!$L$77:$L$180,"&lt;="&amp;L$6)+SUMIFS('Payments Build'!$M$185:$M$210,'Payments Build'!$D$185:$D$210,$A30,'Payments Build'!$L$185:$L$210,"&gt;="&amp;L$5,'Payments Build'!$L$185:$L$210,"&lt;="&amp;L$6))</f>
        <v>-118</v>
      </c>
      <c r="M30" s="39" t="n">
        <f aca="false">-(SUMIFS('Payments Build'!$M$34:$M$72,'Payments Build'!$D$34:$D$72,$A30,'Payments Build'!$L$34:$L$72,"&gt;="&amp;M$5,'Payments Build'!$L$34:$L$72,"&lt;="&amp;M$6)+SUMIFS('Payments Build'!$M$77:$M$180,'Payments Build'!$D$77:$D$180,$A30,'Payments Build'!$L$77:$L$180,"&gt;="&amp;M$5,'Payments Build'!$L$77:$L$180,"&lt;="&amp;M$6)+SUMIFS('Payments Build'!$M$185:$M$210,'Payments Build'!$D$185:$D$210,$A30,'Payments Build'!$L$185:$L$210,"&gt;="&amp;M$5,'Payments Build'!$L$185:$L$210,"&lt;="&amp;M$6))</f>
        <v>-0</v>
      </c>
      <c r="N30" s="39" t="n">
        <f aca="false">-(SUMIFS('Payments Build'!$M$34:$M$72,'Payments Build'!$D$34:$D$72,$A30,'Payments Build'!$L$34:$L$72,"&gt;="&amp;N$5,'Payments Build'!$L$34:$L$72,"&lt;="&amp;N$6)+SUMIFS('Payments Build'!$M$77:$M$180,'Payments Build'!$D$77:$D$180,$A30,'Payments Build'!$L$77:$L$180,"&gt;="&amp;N$5,'Payments Build'!$L$77:$L$180,"&lt;="&amp;N$6)+SUMIFS('Payments Build'!$M$185:$M$210,'Payments Build'!$D$185:$D$210,$A30,'Payments Build'!$L$185:$L$210,"&gt;="&amp;N$5,'Payments Build'!$L$185:$L$210,"&lt;="&amp;N$6))</f>
        <v>-0</v>
      </c>
      <c r="O30" s="40" t="n">
        <f aca="false">SUM(B30:N30)</f>
        <v>-246</v>
      </c>
    </row>
    <row r="31" customFormat="false" ht="13.5" hidden="false" customHeight="true" outlineLevel="0" collapsed="false">
      <c r="A31" s="38" t="s">
        <v>129</v>
      </c>
      <c r="B31" s="39" t="n">
        <f aca="false">-(SUMIFS('Payments Build'!$M$34:$M$72,'Payments Build'!$D$34:$D$72,$A31,'Payments Build'!$L$34:$L$72,"&gt;="&amp;B$5,'Payments Build'!$L$34:$L$72,"&lt;="&amp;B$6)+SUMIFS('Payments Build'!$M$77:$M$180,'Payments Build'!$D$77:$D$180,$A31,'Payments Build'!$L$77:$L$180,"&gt;="&amp;B$5,'Payments Build'!$L$77:$L$180,"&lt;="&amp;B$6)+SUMIFS('Payments Build'!$M$185:$M$210,'Payments Build'!$D$185:$D$210,$A31,'Payments Build'!$L$185:$L$210,"&gt;="&amp;B$5,'Payments Build'!$L$185:$L$210,"&lt;="&amp;B$6))</f>
        <v>-0</v>
      </c>
      <c r="C31" s="39" t="n">
        <f aca="false">-(SUMIFS('Payments Build'!$M$34:$M$72,'Payments Build'!$D$34:$D$72,$A31,'Payments Build'!$L$34:$L$72,"&gt;="&amp;C$5,'Payments Build'!$L$34:$L$72,"&lt;="&amp;C$6)+SUMIFS('Payments Build'!$M$77:$M$180,'Payments Build'!$D$77:$D$180,$A31,'Payments Build'!$L$77:$L$180,"&gt;="&amp;C$5,'Payments Build'!$L$77:$L$180,"&lt;="&amp;C$6)+SUMIFS('Payments Build'!$M$185:$M$210,'Payments Build'!$D$185:$D$210,$A31,'Payments Build'!$L$185:$L$210,"&gt;="&amp;C$5,'Payments Build'!$L$185:$L$210,"&lt;="&amp;C$6))</f>
        <v>-0</v>
      </c>
      <c r="D31" s="39" t="n">
        <f aca="false">-(SUMIFS('Payments Build'!$M$34:$M$72,'Payments Build'!$D$34:$D$72,$A31,'Payments Build'!$L$34:$L$72,"&gt;="&amp;D$5,'Payments Build'!$L$34:$L$72,"&lt;="&amp;D$6)+SUMIFS('Payments Build'!$M$77:$M$180,'Payments Build'!$D$77:$D$180,$A31,'Payments Build'!$L$77:$L$180,"&gt;="&amp;D$5,'Payments Build'!$L$77:$L$180,"&lt;="&amp;D$6)+SUMIFS('Payments Build'!$M$185:$M$210,'Payments Build'!$D$185:$D$210,$A31,'Payments Build'!$L$185:$L$210,"&gt;="&amp;D$5,'Payments Build'!$L$185:$L$210,"&lt;="&amp;D$6))</f>
        <v>-0</v>
      </c>
      <c r="E31" s="39" t="n">
        <f aca="false">-(SUMIFS('Payments Build'!$M$34:$M$72,'Payments Build'!$D$34:$D$72,$A31,'Payments Build'!$L$34:$L$72,"&gt;="&amp;E$5,'Payments Build'!$L$34:$L$72,"&lt;="&amp;E$6)+SUMIFS('Payments Build'!$M$77:$M$180,'Payments Build'!$D$77:$D$180,$A31,'Payments Build'!$L$77:$L$180,"&gt;="&amp;E$5,'Payments Build'!$L$77:$L$180,"&lt;="&amp;E$6)+SUMIFS('Payments Build'!$M$185:$M$210,'Payments Build'!$D$185:$D$210,$A31,'Payments Build'!$L$185:$L$210,"&gt;="&amp;E$5,'Payments Build'!$L$185:$L$210,"&lt;="&amp;E$6))</f>
        <v>-335</v>
      </c>
      <c r="F31" s="39" t="n">
        <f aca="false">-(SUMIFS('Payments Build'!$M$34:$M$72,'Payments Build'!$D$34:$D$72,$A31,'Payments Build'!$L$34:$L$72,"&gt;="&amp;F$5,'Payments Build'!$L$34:$L$72,"&lt;="&amp;F$6)+SUMIFS('Payments Build'!$M$77:$M$180,'Payments Build'!$D$77:$D$180,$A31,'Payments Build'!$L$77:$L$180,"&gt;="&amp;F$5,'Payments Build'!$L$77:$L$180,"&lt;="&amp;F$6)+SUMIFS('Payments Build'!$M$185:$M$210,'Payments Build'!$D$185:$D$210,$A31,'Payments Build'!$L$185:$L$210,"&gt;="&amp;F$5,'Payments Build'!$L$185:$L$210,"&lt;="&amp;F$6))</f>
        <v>-0</v>
      </c>
      <c r="G31" s="39" t="n">
        <f aca="false">-(SUMIFS('Payments Build'!$M$34:$M$72,'Payments Build'!$D$34:$D$72,$A31,'Payments Build'!$L$34:$L$72,"&gt;="&amp;G$5,'Payments Build'!$L$34:$L$72,"&lt;="&amp;G$6)+SUMIFS('Payments Build'!$M$77:$M$180,'Payments Build'!$D$77:$D$180,$A31,'Payments Build'!$L$77:$L$180,"&gt;="&amp;G$5,'Payments Build'!$L$77:$L$180,"&lt;="&amp;G$6)+SUMIFS('Payments Build'!$M$185:$M$210,'Payments Build'!$D$185:$D$210,$A31,'Payments Build'!$L$185:$L$210,"&gt;="&amp;G$5,'Payments Build'!$L$185:$L$210,"&lt;="&amp;G$6))</f>
        <v>-0</v>
      </c>
      <c r="H31" s="39" t="n">
        <f aca="false">-(SUMIFS('Payments Build'!$M$34:$M$72,'Payments Build'!$D$34:$D$72,$A31,'Payments Build'!$L$34:$L$72,"&gt;="&amp;H$5,'Payments Build'!$L$34:$L$72,"&lt;="&amp;H$6)+SUMIFS('Payments Build'!$M$77:$M$180,'Payments Build'!$D$77:$D$180,$A31,'Payments Build'!$L$77:$L$180,"&gt;="&amp;H$5,'Payments Build'!$L$77:$L$180,"&lt;="&amp;H$6)+SUMIFS('Payments Build'!$M$185:$M$210,'Payments Build'!$D$185:$D$210,$A31,'Payments Build'!$L$185:$L$210,"&gt;="&amp;H$5,'Payments Build'!$L$185:$L$210,"&lt;="&amp;H$6))</f>
        <v>-0</v>
      </c>
      <c r="I31" s="39" t="n">
        <f aca="false">-(SUMIFS('Payments Build'!$M$34:$M$72,'Payments Build'!$D$34:$D$72,$A31,'Payments Build'!$L$34:$L$72,"&gt;="&amp;I$5,'Payments Build'!$L$34:$L$72,"&lt;="&amp;I$6)+SUMIFS('Payments Build'!$M$77:$M$180,'Payments Build'!$D$77:$D$180,$A31,'Payments Build'!$L$77:$L$180,"&gt;="&amp;I$5,'Payments Build'!$L$77:$L$180,"&lt;="&amp;I$6)+SUMIFS('Payments Build'!$M$185:$M$210,'Payments Build'!$D$185:$D$210,$A31,'Payments Build'!$L$185:$L$210,"&gt;="&amp;I$5,'Payments Build'!$L$185:$L$210,"&lt;="&amp;I$6))</f>
        <v>-0</v>
      </c>
      <c r="J31" s="39" t="n">
        <f aca="false">-(SUMIFS('Payments Build'!$M$34:$M$72,'Payments Build'!$D$34:$D$72,$A31,'Payments Build'!$L$34:$L$72,"&gt;="&amp;J$5,'Payments Build'!$L$34:$L$72,"&lt;="&amp;J$6)+SUMIFS('Payments Build'!$M$77:$M$180,'Payments Build'!$D$77:$D$180,$A31,'Payments Build'!$L$77:$L$180,"&gt;="&amp;J$5,'Payments Build'!$L$77:$L$180,"&lt;="&amp;J$6)+SUMIFS('Payments Build'!$M$185:$M$210,'Payments Build'!$D$185:$D$210,$A31,'Payments Build'!$L$185:$L$210,"&gt;="&amp;J$5,'Payments Build'!$L$185:$L$210,"&lt;="&amp;J$6))</f>
        <v>-25</v>
      </c>
      <c r="K31" s="39" t="n">
        <f aca="false">-(SUMIFS('Payments Build'!$M$34:$M$72,'Payments Build'!$D$34:$D$72,$A31,'Payments Build'!$L$34:$L$72,"&gt;="&amp;K$5,'Payments Build'!$L$34:$L$72,"&lt;="&amp;K$6)+SUMIFS('Payments Build'!$M$77:$M$180,'Payments Build'!$D$77:$D$180,$A31,'Payments Build'!$L$77:$L$180,"&gt;="&amp;K$5,'Payments Build'!$L$77:$L$180,"&lt;="&amp;K$6)+SUMIFS('Payments Build'!$M$185:$M$210,'Payments Build'!$D$185:$D$210,$A31,'Payments Build'!$L$185:$L$210,"&gt;="&amp;K$5,'Payments Build'!$L$185:$L$210,"&lt;="&amp;K$6))</f>
        <v>-0</v>
      </c>
      <c r="L31" s="39" t="n">
        <f aca="false">-(SUMIFS('Payments Build'!$M$34:$M$72,'Payments Build'!$D$34:$D$72,$A31,'Payments Build'!$L$34:$L$72,"&gt;="&amp;L$5,'Payments Build'!$L$34:$L$72,"&lt;="&amp;L$6)+SUMIFS('Payments Build'!$M$77:$M$180,'Payments Build'!$D$77:$D$180,$A31,'Payments Build'!$L$77:$L$180,"&gt;="&amp;L$5,'Payments Build'!$L$77:$L$180,"&lt;="&amp;L$6)+SUMIFS('Payments Build'!$M$185:$M$210,'Payments Build'!$D$185:$D$210,$A31,'Payments Build'!$L$185:$L$210,"&gt;="&amp;L$5,'Payments Build'!$L$185:$L$210,"&lt;="&amp;L$6))</f>
        <v>-775</v>
      </c>
      <c r="M31" s="39" t="n">
        <f aca="false">-(SUMIFS('Payments Build'!$M$34:$M$72,'Payments Build'!$D$34:$D$72,$A31,'Payments Build'!$L$34:$L$72,"&gt;="&amp;M$5,'Payments Build'!$L$34:$L$72,"&lt;="&amp;M$6)+SUMIFS('Payments Build'!$M$77:$M$180,'Payments Build'!$D$77:$D$180,$A31,'Payments Build'!$L$77:$L$180,"&gt;="&amp;M$5,'Payments Build'!$L$77:$L$180,"&lt;="&amp;M$6)+SUMIFS('Payments Build'!$M$185:$M$210,'Payments Build'!$D$185:$D$210,$A31,'Payments Build'!$L$185:$L$210,"&gt;="&amp;M$5,'Payments Build'!$L$185:$L$210,"&lt;="&amp;M$6))</f>
        <v>-0</v>
      </c>
      <c r="N31" s="39" t="n">
        <f aca="false">-(SUMIFS('Payments Build'!$M$34:$M$72,'Payments Build'!$D$34:$D$72,$A31,'Payments Build'!$L$34:$L$72,"&gt;="&amp;N$5,'Payments Build'!$L$34:$L$72,"&lt;="&amp;N$6)+SUMIFS('Payments Build'!$M$77:$M$180,'Payments Build'!$D$77:$D$180,$A31,'Payments Build'!$L$77:$L$180,"&gt;="&amp;N$5,'Payments Build'!$L$77:$L$180,"&lt;="&amp;N$6)+SUMIFS('Payments Build'!$M$185:$M$210,'Payments Build'!$D$185:$D$210,$A31,'Payments Build'!$L$185:$L$210,"&gt;="&amp;N$5,'Payments Build'!$L$185:$L$210,"&lt;="&amp;N$6))</f>
        <v>-25</v>
      </c>
      <c r="O31" s="40" t="n">
        <f aca="false">SUM(B31:N31)</f>
        <v>-1160</v>
      </c>
    </row>
    <row r="32" customFormat="false" ht="13.5" hidden="false" customHeight="true" outlineLevel="0" collapsed="false">
      <c r="A32" s="38" t="s">
        <v>130</v>
      </c>
      <c r="B32" s="39" t="n">
        <f aca="false">-IF(AND(EOMONTH(B$5,0)&gt;=B$5,EOMONTH(B$5,0)&lt;=B$6),(B44*Assumptions!$B$41+B52*Assumptions!$B$42+(B43-B44)*Assumptions!$B$43)/12+Assumptions!$B$44,0)</f>
        <v>-32.3291666666667</v>
      </c>
      <c r="C32" s="39" t="n">
        <f aca="false">-IF(AND(EOMONTH(C$5,0)&gt;=C$5,EOMONTH(C$5,0)&lt;=C$6),(C44*Assumptions!$B$41+C52*Assumptions!$B$42+(C43-C44)*Assumptions!$B$43)/12+Assumptions!$B$44,0)</f>
        <v>-0</v>
      </c>
      <c r="D32" s="39" t="n">
        <f aca="false">-IF(AND(EOMONTH(D$5,0)&gt;=D$5,EOMONTH(D$5,0)&lt;=D$6),(D44*Assumptions!$B$41+D52*Assumptions!$B$42+(D43-D44)*Assumptions!$B$43)/12+Assumptions!$B$44,0)</f>
        <v>-0</v>
      </c>
      <c r="E32" s="39" t="n">
        <f aca="false">-IF(AND(EOMONTH(E$5,0)&gt;=E$5,EOMONTH(E$5,0)&lt;=E$6),(E44*Assumptions!$B$41+E52*Assumptions!$B$42+(E43-E44)*Assumptions!$B$43)/12+Assumptions!$B$44,0)</f>
        <v>-0</v>
      </c>
      <c r="F32" s="39" t="n">
        <f aca="false">-IF(AND(EOMONTH(F$5,0)&gt;=F$5,EOMONTH(F$5,0)&lt;=F$6),(F44*Assumptions!$B$41+F52*Assumptions!$B$42+(F43-F44)*Assumptions!$B$43)/12+Assumptions!$B$44,0)</f>
        <v>-0</v>
      </c>
      <c r="G32" s="39" t="n">
        <f aca="false">-IF(AND(EOMONTH(G$5,0)&gt;=G$5,EOMONTH(G$5,0)&lt;=G$6),(G44*Assumptions!$B$41+G52*Assumptions!$B$42+(G43-G44)*Assumptions!$B$43)/12+Assumptions!$B$44,0)</f>
        <v>-28.5729767361111</v>
      </c>
      <c r="H32" s="39" t="n">
        <f aca="false">-IF(AND(EOMONTH(H$5,0)&gt;=H$5,EOMONTH(H$5,0)&lt;=H$6),(H44*Assumptions!$B$41+H52*Assumptions!$B$42+(H43-H44)*Assumptions!$B$43)/12+Assumptions!$B$44,0)</f>
        <v>-0</v>
      </c>
      <c r="I32" s="39" t="n">
        <f aca="false">-IF(AND(EOMONTH(I$5,0)&gt;=I$5,EOMONTH(I$5,0)&lt;=I$6),(I44*Assumptions!$B$41+I52*Assumptions!$B$42+(I43-I44)*Assumptions!$B$43)/12+Assumptions!$B$44,0)</f>
        <v>-0</v>
      </c>
      <c r="J32" s="39" t="n">
        <f aca="false">-IF(AND(EOMONTH(J$5,0)&gt;=J$5,EOMONTH(J$5,0)&lt;=J$6),(J44*Assumptions!$B$41+J52*Assumptions!$B$42+(J43-J44)*Assumptions!$B$43)/12+Assumptions!$B$44,0)</f>
        <v>-0</v>
      </c>
      <c r="K32" s="39" t="n">
        <f aca="false">-IF(AND(EOMONTH(K$5,0)&gt;=K$5,EOMONTH(K$5,0)&lt;=K$6),(K44*Assumptions!$B$41+K52*Assumptions!$B$42+(K43-K44)*Assumptions!$B$43)/12+Assumptions!$B$44,0)</f>
        <v>-27.617535538397</v>
      </c>
      <c r="L32" s="39" t="n">
        <f aca="false">-IF(AND(EOMONTH(L$5,0)&gt;=L$5,EOMONTH(L$5,0)&lt;=L$6),(L44*Assumptions!$B$41+L52*Assumptions!$B$42+(L43-L44)*Assumptions!$B$43)/12+Assumptions!$B$44,0)</f>
        <v>-0</v>
      </c>
      <c r="M32" s="39" t="n">
        <f aca="false">-IF(AND(EOMONTH(M$5,0)&gt;=M$5,EOMONTH(M$5,0)&lt;=M$6),(M44*Assumptions!$B$41+M52*Assumptions!$B$42+(M43-M44)*Assumptions!$B$43)/12+Assumptions!$B$44,0)</f>
        <v>-0</v>
      </c>
      <c r="N32" s="39" t="n">
        <f aca="false">-IF(AND(EOMONTH(N$5,0)&gt;=N$5,EOMONTH(N$5,0)&lt;=N$6),(N44*Assumptions!$B$41+N52*Assumptions!$B$42+(N43-N44)*Assumptions!$B$43)/12+Assumptions!$B$44,0)</f>
        <v>-0</v>
      </c>
      <c r="O32" s="40" t="n">
        <f aca="false">SUM(B32:N32)</f>
        <v>-88.5196789411748</v>
      </c>
    </row>
    <row r="33" customFormat="false" ht="13.5" hidden="false" customHeight="true" outlineLevel="0" collapsed="false">
      <c r="A33" s="38" t="s">
        <v>131</v>
      </c>
      <c r="B33" s="39" t="n">
        <f aca="false">-(SUMIFS('Payments Build'!$M$34:$M$72,'Payments Build'!$D$34:$D$72,$A33,'Payments Build'!$L$34:$L$72,"&gt;="&amp;B$5,'Payments Build'!$L$34:$L$72,"&lt;="&amp;B$6)+SUMIFS('Payments Build'!$M$77:$M$180,'Payments Build'!$D$77:$D$180,$A33,'Payments Build'!$L$77:$L$180,"&gt;="&amp;B$5,'Payments Build'!$L$77:$L$180,"&lt;="&amp;B$6)+SUMIFS('Payments Build'!$M$185:$M$210,'Payments Build'!$D$185:$D$210,$A33,'Payments Build'!$L$185:$L$210,"&gt;="&amp;B$5,'Payments Build'!$L$185:$L$210,"&lt;="&amp;B$6))</f>
        <v>-0</v>
      </c>
      <c r="C33" s="39" t="n">
        <f aca="false">-(SUMIFS('Payments Build'!$M$34:$M$72,'Payments Build'!$D$34:$D$72,$A33,'Payments Build'!$L$34:$L$72,"&gt;="&amp;C$5,'Payments Build'!$L$34:$L$72,"&lt;="&amp;C$6)+SUMIFS('Payments Build'!$M$77:$M$180,'Payments Build'!$D$77:$D$180,$A33,'Payments Build'!$L$77:$L$180,"&gt;="&amp;C$5,'Payments Build'!$L$77:$L$180,"&lt;="&amp;C$6)+SUMIFS('Payments Build'!$M$185:$M$210,'Payments Build'!$D$185:$D$210,$A33,'Payments Build'!$L$185:$L$210,"&gt;="&amp;C$5,'Payments Build'!$L$185:$L$210,"&lt;="&amp;C$6))</f>
        <v>-0</v>
      </c>
      <c r="D33" s="39" t="n">
        <f aca="false">-(SUMIFS('Payments Build'!$M$34:$M$72,'Payments Build'!$D$34:$D$72,$A33,'Payments Build'!$L$34:$L$72,"&gt;="&amp;D$5,'Payments Build'!$L$34:$L$72,"&lt;="&amp;D$6)+SUMIFS('Payments Build'!$M$77:$M$180,'Payments Build'!$D$77:$D$180,$A33,'Payments Build'!$L$77:$L$180,"&gt;="&amp;D$5,'Payments Build'!$L$77:$L$180,"&lt;="&amp;D$6)+SUMIFS('Payments Build'!$M$185:$M$210,'Payments Build'!$D$185:$D$210,$A33,'Payments Build'!$L$185:$L$210,"&gt;="&amp;D$5,'Payments Build'!$L$185:$L$210,"&lt;="&amp;D$6))</f>
        <v>-0</v>
      </c>
      <c r="E33" s="39" t="n">
        <f aca="false">-(SUMIFS('Payments Build'!$M$34:$M$72,'Payments Build'!$D$34:$D$72,$A33,'Payments Build'!$L$34:$L$72,"&gt;="&amp;E$5,'Payments Build'!$L$34:$L$72,"&lt;="&amp;E$6)+SUMIFS('Payments Build'!$M$77:$M$180,'Payments Build'!$D$77:$D$180,$A33,'Payments Build'!$L$77:$L$180,"&gt;="&amp;E$5,'Payments Build'!$L$77:$L$180,"&lt;="&amp;E$6)+SUMIFS('Payments Build'!$M$185:$M$210,'Payments Build'!$D$185:$D$210,$A33,'Payments Build'!$L$185:$L$210,"&gt;="&amp;E$5,'Payments Build'!$L$185:$L$210,"&lt;="&amp;E$6))</f>
        <v>-0</v>
      </c>
      <c r="F33" s="39" t="n">
        <f aca="false">-(SUMIFS('Payments Build'!$M$34:$M$72,'Payments Build'!$D$34:$D$72,$A33,'Payments Build'!$L$34:$L$72,"&gt;="&amp;F$5,'Payments Build'!$L$34:$L$72,"&lt;="&amp;F$6)+SUMIFS('Payments Build'!$M$77:$M$180,'Payments Build'!$D$77:$D$180,$A33,'Payments Build'!$L$77:$L$180,"&gt;="&amp;F$5,'Payments Build'!$L$77:$L$180,"&lt;="&amp;F$6)+SUMIFS('Payments Build'!$M$185:$M$210,'Payments Build'!$D$185:$D$210,$A33,'Payments Build'!$L$185:$L$210,"&gt;="&amp;F$5,'Payments Build'!$L$185:$L$210,"&lt;="&amp;F$6))</f>
        <v>-0</v>
      </c>
      <c r="G33" s="39" t="n">
        <f aca="false">-(SUMIFS('Payments Build'!$M$34:$M$72,'Payments Build'!$D$34:$D$72,$A33,'Payments Build'!$L$34:$L$72,"&gt;="&amp;G$5,'Payments Build'!$L$34:$L$72,"&lt;="&amp;G$6)+SUMIFS('Payments Build'!$M$77:$M$180,'Payments Build'!$D$77:$D$180,$A33,'Payments Build'!$L$77:$L$180,"&gt;="&amp;G$5,'Payments Build'!$L$77:$L$180,"&lt;="&amp;G$6)+SUMIFS('Payments Build'!$M$185:$M$210,'Payments Build'!$D$185:$D$210,$A33,'Payments Build'!$L$185:$L$210,"&gt;="&amp;G$5,'Payments Build'!$L$185:$L$210,"&lt;="&amp;G$6))</f>
        <v>-0</v>
      </c>
      <c r="H33" s="39" t="n">
        <f aca="false">-(SUMIFS('Payments Build'!$M$34:$M$72,'Payments Build'!$D$34:$D$72,$A33,'Payments Build'!$L$34:$L$72,"&gt;="&amp;H$5,'Payments Build'!$L$34:$L$72,"&lt;="&amp;H$6)+SUMIFS('Payments Build'!$M$77:$M$180,'Payments Build'!$D$77:$D$180,$A33,'Payments Build'!$L$77:$L$180,"&gt;="&amp;H$5,'Payments Build'!$L$77:$L$180,"&lt;="&amp;H$6)+SUMIFS('Payments Build'!$M$185:$M$210,'Payments Build'!$D$185:$D$210,$A33,'Payments Build'!$L$185:$L$210,"&gt;="&amp;H$5,'Payments Build'!$L$185:$L$210,"&lt;="&amp;H$6))</f>
        <v>-0</v>
      </c>
      <c r="I33" s="39" t="n">
        <f aca="false">-(SUMIFS('Payments Build'!$M$34:$M$72,'Payments Build'!$D$34:$D$72,$A33,'Payments Build'!$L$34:$L$72,"&gt;="&amp;I$5,'Payments Build'!$L$34:$L$72,"&lt;="&amp;I$6)+SUMIFS('Payments Build'!$M$77:$M$180,'Payments Build'!$D$77:$D$180,$A33,'Payments Build'!$L$77:$L$180,"&gt;="&amp;I$5,'Payments Build'!$L$77:$L$180,"&lt;="&amp;I$6)+SUMIFS('Payments Build'!$M$185:$M$210,'Payments Build'!$D$185:$D$210,$A33,'Payments Build'!$L$185:$L$210,"&gt;="&amp;I$5,'Payments Build'!$L$185:$L$210,"&lt;="&amp;I$6))</f>
        <v>-0</v>
      </c>
      <c r="J33" s="39" t="n">
        <f aca="false">-(SUMIFS('Payments Build'!$M$34:$M$72,'Payments Build'!$D$34:$D$72,$A33,'Payments Build'!$L$34:$L$72,"&gt;="&amp;J$5,'Payments Build'!$L$34:$L$72,"&lt;="&amp;J$6)+SUMIFS('Payments Build'!$M$77:$M$180,'Payments Build'!$D$77:$D$180,$A33,'Payments Build'!$L$77:$L$180,"&gt;="&amp;J$5,'Payments Build'!$L$77:$L$180,"&lt;="&amp;J$6)+SUMIFS('Payments Build'!$M$185:$M$210,'Payments Build'!$D$185:$D$210,$A33,'Payments Build'!$L$185:$L$210,"&gt;="&amp;J$5,'Payments Build'!$L$185:$L$210,"&lt;="&amp;J$6))</f>
        <v>-0</v>
      </c>
      <c r="K33" s="39" t="n">
        <f aca="false">-(SUMIFS('Payments Build'!$M$34:$M$72,'Payments Build'!$D$34:$D$72,$A33,'Payments Build'!$L$34:$L$72,"&gt;="&amp;K$5,'Payments Build'!$L$34:$L$72,"&lt;="&amp;K$6)+SUMIFS('Payments Build'!$M$77:$M$180,'Payments Build'!$D$77:$D$180,$A33,'Payments Build'!$L$77:$L$180,"&gt;="&amp;K$5,'Payments Build'!$L$77:$L$180,"&lt;="&amp;K$6)+SUMIFS('Payments Build'!$M$185:$M$210,'Payments Build'!$D$185:$D$210,$A33,'Payments Build'!$L$185:$L$210,"&gt;="&amp;K$5,'Payments Build'!$L$185:$L$210,"&lt;="&amp;K$6))</f>
        <v>-200</v>
      </c>
      <c r="L33" s="39" t="n">
        <f aca="false">-(SUMIFS('Payments Build'!$M$34:$M$72,'Payments Build'!$D$34:$D$72,$A33,'Payments Build'!$L$34:$L$72,"&gt;="&amp;L$5,'Payments Build'!$L$34:$L$72,"&lt;="&amp;L$6)+SUMIFS('Payments Build'!$M$77:$M$180,'Payments Build'!$D$77:$D$180,$A33,'Payments Build'!$L$77:$L$180,"&gt;="&amp;L$5,'Payments Build'!$L$77:$L$180,"&lt;="&amp;L$6)+SUMIFS('Payments Build'!$M$185:$M$210,'Payments Build'!$D$185:$D$210,$A33,'Payments Build'!$L$185:$L$210,"&gt;="&amp;L$5,'Payments Build'!$L$185:$L$210,"&lt;="&amp;L$6))</f>
        <v>-0</v>
      </c>
      <c r="M33" s="39" t="n">
        <f aca="false">-(SUMIFS('Payments Build'!$M$34:$M$72,'Payments Build'!$D$34:$D$72,$A33,'Payments Build'!$L$34:$L$72,"&gt;="&amp;M$5,'Payments Build'!$L$34:$L$72,"&lt;="&amp;M$6)+SUMIFS('Payments Build'!$M$77:$M$180,'Payments Build'!$D$77:$D$180,$A33,'Payments Build'!$L$77:$L$180,"&gt;="&amp;M$5,'Payments Build'!$L$77:$L$180,"&lt;="&amp;M$6)+SUMIFS('Payments Build'!$M$185:$M$210,'Payments Build'!$D$185:$D$210,$A33,'Payments Build'!$L$185:$L$210,"&gt;="&amp;M$5,'Payments Build'!$L$185:$L$210,"&lt;="&amp;M$6))</f>
        <v>-0</v>
      </c>
      <c r="N33" s="39" t="n">
        <f aca="false">-(SUMIFS('Payments Build'!$M$34:$M$72,'Payments Build'!$D$34:$D$72,$A33,'Payments Build'!$L$34:$L$72,"&gt;="&amp;N$5,'Payments Build'!$L$34:$L$72,"&lt;="&amp;N$6)+SUMIFS('Payments Build'!$M$77:$M$180,'Payments Build'!$D$77:$D$180,$A33,'Payments Build'!$L$77:$L$180,"&gt;="&amp;N$5,'Payments Build'!$L$77:$L$180,"&lt;="&amp;N$6)+SUMIFS('Payments Build'!$M$185:$M$210,'Payments Build'!$D$185:$D$210,$A33,'Payments Build'!$L$185:$L$210,"&gt;="&amp;N$5,'Payments Build'!$L$185:$L$210,"&lt;="&amp;N$6))</f>
        <v>-0</v>
      </c>
      <c r="O33" s="40" t="n">
        <f aca="false">SUM(B33:N33)</f>
        <v>-200</v>
      </c>
    </row>
    <row r="34" customFormat="false" ht="13.5" hidden="false" customHeight="true" outlineLevel="0" collapsed="false">
      <c r="A34" s="41" t="s">
        <v>132</v>
      </c>
      <c r="B34" s="42" t="n">
        <f aca="false">SUM(B21:B33)</f>
        <v>-528.729166666667</v>
      </c>
      <c r="C34" s="42" t="n">
        <f aca="false">SUM(C21:C33)</f>
        <v>-369.5</v>
      </c>
      <c r="D34" s="42" t="n">
        <f aca="false">SUM(D21:D33)</f>
        <v>-1029.5</v>
      </c>
      <c r="E34" s="42" t="n">
        <f aca="false">SUM(E21:E33)</f>
        <v>-745.2</v>
      </c>
      <c r="F34" s="42" t="n">
        <f aca="false">SUM(F21:F33)</f>
        <v>-553.7</v>
      </c>
      <c r="G34" s="42" t="n">
        <f aca="false">SUM(G21:G33)</f>
        <v>-488.672976736111</v>
      </c>
      <c r="H34" s="42" t="n">
        <f aca="false">SUM(H21:H33)</f>
        <v>-702.9</v>
      </c>
      <c r="I34" s="42" t="n">
        <f aca="false">SUM(I21:I33)</f>
        <v>-701.7</v>
      </c>
      <c r="J34" s="42" t="n">
        <f aca="false">SUM(J21:J33)</f>
        <v>-420.5</v>
      </c>
      <c r="K34" s="42" t="n">
        <f aca="false">SUM(K21:K33)</f>
        <v>-476.017535538397</v>
      </c>
      <c r="L34" s="42" t="n">
        <f aca="false">SUM(L21:L33)</f>
        <v>-1103.4</v>
      </c>
      <c r="M34" s="42" t="n">
        <f aca="false">SUM(M21:M33)</f>
        <v>-955.4</v>
      </c>
      <c r="N34" s="42" t="n">
        <f aca="false">SUM(N21:N33)</f>
        <v>-581.9</v>
      </c>
      <c r="O34" s="43" t="n">
        <f aca="false">SUM(B34:N34)</f>
        <v>-8657.11967894118</v>
      </c>
    </row>
    <row r="36" customFormat="false" ht="13.5" hidden="false" customHeight="true" outlineLevel="0" collapsed="false">
      <c r="A36" s="35" t="s">
        <v>133</v>
      </c>
      <c r="B36" s="44" t="n">
        <f aca="false">B18+B34</f>
        <v>174.370833333333</v>
      </c>
      <c r="C36" s="44" t="n">
        <f aca="false">C18+C34</f>
        <v>319.9</v>
      </c>
      <c r="D36" s="44" t="n">
        <f aca="false">D18+D34</f>
        <v>-345</v>
      </c>
      <c r="E36" s="44" t="n">
        <f aca="false">E18+E34</f>
        <v>134.3</v>
      </c>
      <c r="F36" s="44" t="n">
        <f aca="false">F18+F34</f>
        <v>110.4</v>
      </c>
      <c r="G36" s="44" t="n">
        <f aca="false">G18+G34</f>
        <v>194.427023263889</v>
      </c>
      <c r="H36" s="44" t="n">
        <f aca="false">H18+H34</f>
        <v>-50.3000000000002</v>
      </c>
      <c r="I36" s="44" t="n">
        <f aca="false">I18+I34</f>
        <v>-104.4</v>
      </c>
      <c r="J36" s="44" t="n">
        <f aca="false">J18+J34</f>
        <v>154.6</v>
      </c>
      <c r="K36" s="44" t="n">
        <f aca="false">K18+K34</f>
        <v>-103.817535538397</v>
      </c>
      <c r="L36" s="44" t="n">
        <f aca="false">L18+L34</f>
        <v>-459.5</v>
      </c>
      <c r="M36" s="44" t="n">
        <f aca="false">M18+M34</f>
        <v>412.3</v>
      </c>
      <c r="N36" s="44" t="n">
        <f aca="false">N18+N34</f>
        <v>126.6</v>
      </c>
      <c r="O36" s="44" t="n">
        <f aca="false">SUM(B36:N36)</f>
        <v>563.880321058825</v>
      </c>
    </row>
    <row r="38" customFormat="false" ht="16.5" hidden="false" customHeight="true" outlineLevel="0" collapsed="false">
      <c r="A38" s="10" t="s">
        <v>134</v>
      </c>
      <c r="B38" s="10"/>
      <c r="C38" s="10"/>
      <c r="D38" s="10"/>
      <c r="E38" s="10"/>
      <c r="F38" s="10"/>
      <c r="G38" s="10"/>
      <c r="H38" s="10"/>
      <c r="I38" s="10"/>
      <c r="J38" s="10"/>
      <c r="K38" s="10"/>
      <c r="L38" s="10"/>
      <c r="M38" s="10"/>
      <c r="N38" s="10"/>
      <c r="O38" s="10"/>
    </row>
    <row r="39" customFormat="false" ht="13.5" hidden="false" customHeight="true" outlineLevel="0" collapsed="false">
      <c r="A39" s="38" t="s">
        <v>135</v>
      </c>
      <c r="B39" s="39" t="n">
        <f aca="false">MAX(0,MIN(B43-B44,B42-(B9+B36)))-MIN(B44,MAX(0,(B9+B36)-B42))</f>
        <v>-544.370833333333</v>
      </c>
      <c r="C39" s="39" t="n">
        <f aca="false">MAX(0,MIN(C43-C44,C42-(C9+C36)))-MIN(C44,MAX(0,(C9+C36)-C42))</f>
        <v>-319.9</v>
      </c>
      <c r="D39" s="39" t="n">
        <f aca="false">MAX(0,MIN(D43-D44,D42-(D9+D36)))-MIN(D44,MAX(0,(D9+D36)-D42))</f>
        <v>345</v>
      </c>
      <c r="E39" s="39" t="n">
        <f aca="false">MAX(0,MIN(E43-E44,E42-(E9+E36)))-MIN(E44,MAX(0,(E9+E36)-E42))</f>
        <v>-134.3</v>
      </c>
      <c r="F39" s="39" t="n">
        <f aca="false">MAX(0,MIN(F43-F44,F42-(F9+F36)))-MIN(F44,MAX(0,(F9+F36)-F42))</f>
        <v>-110.4</v>
      </c>
      <c r="G39" s="39" t="n">
        <f aca="false">MAX(0,MIN(G43-G44,G42-(G9+G36)))-MIN(G44,MAX(0,(G9+G36)-G42))</f>
        <v>-194.427023263889</v>
      </c>
      <c r="H39" s="39" t="n">
        <f aca="false">MAX(0,MIN(H43-H44,H42-(H9+H36)))-MIN(H44,MAX(0,(H9+H36)-H42))</f>
        <v>50.3000000000002</v>
      </c>
      <c r="I39" s="39" t="n">
        <f aca="false">MAX(0,MIN(I43-I44,I42-(I9+I36)))-MIN(I44,MAX(0,(I9+I36)-I42))</f>
        <v>104.4</v>
      </c>
      <c r="J39" s="39" t="n">
        <f aca="false">MAX(0,MIN(J43-J44,J42-(J9+J36)))-MIN(J44,MAX(0,(J9+J36)-J42))</f>
        <v>-154.6</v>
      </c>
      <c r="K39" s="39" t="n">
        <f aca="false">MAX(0,MIN(K43-K44,K42-(K9+K36)))-MIN(K44,MAX(0,(K9+K36)-K42))</f>
        <v>103.817535538397</v>
      </c>
      <c r="L39" s="39" t="n">
        <f aca="false">MAX(0,MIN(L43-L44,L42-(L9+L36)))-MIN(L44,MAX(0,(L9+L36)-L42))</f>
        <v>459.5</v>
      </c>
      <c r="M39" s="39" t="n">
        <f aca="false">MAX(0,MIN(M43-M44,M42-(M9+M36)))-MIN(M44,MAX(0,(M9+M36)-M42))</f>
        <v>-412.3</v>
      </c>
      <c r="N39" s="39" t="n">
        <f aca="false">MAX(0,MIN(N43-N44,N42-(N9+N36)))-MIN(N44,MAX(0,(N9+N36)-N42))</f>
        <v>-126.6</v>
      </c>
      <c r="O39" s="40" t="n">
        <f aca="false">SUM(B39:N39)</f>
        <v>-933.880321058825</v>
      </c>
    </row>
    <row r="40" customFormat="false" ht="13.5" hidden="false" customHeight="true" outlineLevel="0" collapsed="false">
      <c r="A40" s="35" t="s">
        <v>136</v>
      </c>
      <c r="B40" s="36" t="n">
        <f aca="false">B36+B39</f>
        <v>-370</v>
      </c>
      <c r="C40" s="36" t="n">
        <f aca="false">C36+C39</f>
        <v>0</v>
      </c>
      <c r="D40" s="36" t="n">
        <f aca="false">D36+D39</f>
        <v>0</v>
      </c>
      <c r="E40" s="36" t="n">
        <f aca="false">E36+E39</f>
        <v>0</v>
      </c>
      <c r="F40" s="36" t="n">
        <f aca="false">F36+F39</f>
        <v>0</v>
      </c>
      <c r="G40" s="36" t="n">
        <f aca="false">G36+G39</f>
        <v>0</v>
      </c>
      <c r="H40" s="36" t="n">
        <f aca="false">H36+H39</f>
        <v>0</v>
      </c>
      <c r="I40" s="36" t="n">
        <f aca="false">I36+I39</f>
        <v>0</v>
      </c>
      <c r="J40" s="36" t="n">
        <f aca="false">J36+J39</f>
        <v>0</v>
      </c>
      <c r="K40" s="36" t="n">
        <f aca="false">K36+K39</f>
        <v>0</v>
      </c>
      <c r="L40" s="36" t="n">
        <f aca="false">L36+L39</f>
        <v>0</v>
      </c>
      <c r="M40" s="36" t="n">
        <f aca="false">M36+M39</f>
        <v>0</v>
      </c>
      <c r="N40" s="36" t="n">
        <f aca="false">N36+N39</f>
        <v>0</v>
      </c>
      <c r="O40" s="37" t="n">
        <f aca="false">SUM(B40:N40)</f>
        <v>-370</v>
      </c>
    </row>
    <row r="41" customFormat="false" ht="13.5" hidden="false" customHeight="true" outlineLevel="0" collapsed="false">
      <c r="A41" s="35" t="s">
        <v>137</v>
      </c>
      <c r="B41" s="44" t="n">
        <f aca="false">B9+B40</f>
        <v>250</v>
      </c>
      <c r="C41" s="44" t="n">
        <f aca="false">C9+C40</f>
        <v>250</v>
      </c>
      <c r="D41" s="44" t="n">
        <f aca="false">D9+D40</f>
        <v>250</v>
      </c>
      <c r="E41" s="44" t="n">
        <f aca="false">E9+E40</f>
        <v>250</v>
      </c>
      <c r="F41" s="44" t="n">
        <f aca="false">F9+F40</f>
        <v>250</v>
      </c>
      <c r="G41" s="44" t="n">
        <f aca="false">G9+G40</f>
        <v>250</v>
      </c>
      <c r="H41" s="44" t="n">
        <f aca="false">H9+H40</f>
        <v>250</v>
      </c>
      <c r="I41" s="44" t="n">
        <f aca="false">I9+I40</f>
        <v>250</v>
      </c>
      <c r="J41" s="44" t="n">
        <f aca="false">J9+J40</f>
        <v>250</v>
      </c>
      <c r="K41" s="44" t="n">
        <f aca="false">K9+K40</f>
        <v>250</v>
      </c>
      <c r="L41" s="44" t="n">
        <f aca="false">L9+L40</f>
        <v>250</v>
      </c>
      <c r="M41" s="44" t="n">
        <f aca="false">M9+M40</f>
        <v>250</v>
      </c>
      <c r="N41" s="44" t="n">
        <f aca="false">N9+N40</f>
        <v>250</v>
      </c>
      <c r="O41" s="44" t="n">
        <f aca="false">N41</f>
        <v>250</v>
      </c>
    </row>
    <row r="42" customFormat="false" ht="13.5" hidden="false" customHeight="true" outlineLevel="0" collapsed="false">
      <c r="A42" s="38" t="s">
        <v>138</v>
      </c>
      <c r="B42" s="39" t="n">
        <f aca="false">Assumptions!$B$17</f>
        <v>250</v>
      </c>
      <c r="C42" s="39" t="n">
        <f aca="false">Assumptions!$B$17</f>
        <v>250</v>
      </c>
      <c r="D42" s="39" t="n">
        <f aca="false">Assumptions!$B$17</f>
        <v>250</v>
      </c>
      <c r="E42" s="39" t="n">
        <f aca="false">Assumptions!$B$17</f>
        <v>250</v>
      </c>
      <c r="F42" s="39" t="n">
        <f aca="false">Assumptions!$B$17</f>
        <v>250</v>
      </c>
      <c r="G42" s="39" t="n">
        <f aca="false">Assumptions!$B$17</f>
        <v>250</v>
      </c>
      <c r="H42" s="39" t="n">
        <f aca="false">Assumptions!$B$17</f>
        <v>250</v>
      </c>
      <c r="I42" s="39" t="n">
        <f aca="false">Assumptions!$B$17</f>
        <v>250</v>
      </c>
      <c r="J42" s="39" t="n">
        <f aca="false">Assumptions!$B$17</f>
        <v>250</v>
      </c>
      <c r="K42" s="39" t="n">
        <f aca="false">Assumptions!$B$17</f>
        <v>250</v>
      </c>
      <c r="L42" s="39" t="n">
        <f aca="false">Assumptions!$B$17</f>
        <v>250</v>
      </c>
      <c r="M42" s="39" t="n">
        <f aca="false">Assumptions!$B$17</f>
        <v>250</v>
      </c>
      <c r="N42" s="39" t="n">
        <f aca="false">Assumptions!$B$17</f>
        <v>250</v>
      </c>
      <c r="O42" s="40" t="n">
        <f aca="false">N42</f>
        <v>250</v>
      </c>
    </row>
    <row r="43" customFormat="false" ht="13.5" hidden="false" customHeight="true" outlineLevel="0" collapsed="false">
      <c r="A43" s="38" t="s">
        <v>139</v>
      </c>
      <c r="B43" s="39" t="n">
        <f aca="false">Assumptions!$B$14</f>
        <v>4000</v>
      </c>
      <c r="C43" s="39" t="n">
        <f aca="false">Assumptions!$B$14</f>
        <v>4000</v>
      </c>
      <c r="D43" s="39" t="n">
        <f aca="false">Assumptions!$B$14</f>
        <v>4000</v>
      </c>
      <c r="E43" s="39" t="n">
        <f aca="false">Assumptions!$B$14</f>
        <v>4000</v>
      </c>
      <c r="F43" s="39" t="n">
        <f aca="false">Assumptions!$B$14</f>
        <v>4000</v>
      </c>
      <c r="G43" s="39" t="n">
        <f aca="false">Assumptions!$B$14</f>
        <v>4000</v>
      </c>
      <c r="H43" s="39" t="n">
        <f aca="false">Assumptions!$B$14</f>
        <v>4000</v>
      </c>
      <c r="I43" s="39" t="n">
        <f aca="false">Assumptions!$B$14</f>
        <v>4000</v>
      </c>
      <c r="J43" s="39" t="n">
        <f aca="false">Assumptions!$B$14</f>
        <v>4000</v>
      </c>
      <c r="K43" s="39" t="n">
        <f aca="false">Assumptions!$B$14</f>
        <v>4000</v>
      </c>
      <c r="L43" s="39" t="n">
        <f aca="false">Assumptions!$B$14</f>
        <v>4000</v>
      </c>
      <c r="M43" s="39" t="n">
        <f aca="false">Assumptions!$B$14</f>
        <v>4000</v>
      </c>
      <c r="N43" s="39" t="n">
        <f aca="false">Assumptions!$B$14</f>
        <v>4000</v>
      </c>
      <c r="O43" s="40" t="n">
        <f aca="false">N43</f>
        <v>4000</v>
      </c>
    </row>
    <row r="44" customFormat="false" ht="13.5" hidden="false" customHeight="true" outlineLevel="0" collapsed="false">
      <c r="A44" s="38" t="s">
        <v>140</v>
      </c>
      <c r="B44" s="39" t="n">
        <f aca="false">Assumptions!$B$15</f>
        <v>3450</v>
      </c>
      <c r="C44" s="39" t="n">
        <f aca="false">B45</f>
        <v>2905.62916666667</v>
      </c>
      <c r="D44" s="39" t="n">
        <f aca="false">C45</f>
        <v>2585.72916666667</v>
      </c>
      <c r="E44" s="39" t="n">
        <f aca="false">D45</f>
        <v>2930.72916666667</v>
      </c>
      <c r="F44" s="39" t="n">
        <f aca="false">E45</f>
        <v>2796.42916666667</v>
      </c>
      <c r="G44" s="39" t="n">
        <f aca="false">F45</f>
        <v>2686.02916666667</v>
      </c>
      <c r="H44" s="39" t="n">
        <f aca="false">G45</f>
        <v>2491.60214340278</v>
      </c>
      <c r="I44" s="39" t="n">
        <f aca="false">H45</f>
        <v>2541.90214340278</v>
      </c>
      <c r="J44" s="39" t="n">
        <f aca="false">I45</f>
        <v>2646.30214340278</v>
      </c>
      <c r="K44" s="39" t="n">
        <f aca="false">J45</f>
        <v>2491.70214340278</v>
      </c>
      <c r="L44" s="39" t="n">
        <f aca="false">K45</f>
        <v>2595.51967894118</v>
      </c>
      <c r="M44" s="39" t="n">
        <f aca="false">L45</f>
        <v>3055.01967894118</v>
      </c>
      <c r="N44" s="39" t="n">
        <f aca="false">M45</f>
        <v>2642.71967894118</v>
      </c>
      <c r="O44" s="40" t="n">
        <f aca="false">B44</f>
        <v>3450</v>
      </c>
    </row>
    <row r="45" customFormat="false" ht="13.5" hidden="false" customHeight="true" outlineLevel="0" collapsed="false">
      <c r="A45" s="35" t="s">
        <v>141</v>
      </c>
      <c r="B45" s="36" t="n">
        <f aca="false">B44+B39</f>
        <v>2905.62916666667</v>
      </c>
      <c r="C45" s="36" t="n">
        <f aca="false">C44+C39</f>
        <v>2585.72916666667</v>
      </c>
      <c r="D45" s="36" t="n">
        <f aca="false">D44+D39</f>
        <v>2930.72916666667</v>
      </c>
      <c r="E45" s="36" t="n">
        <f aca="false">E44+E39</f>
        <v>2796.42916666667</v>
      </c>
      <c r="F45" s="36" t="n">
        <f aca="false">F44+F39</f>
        <v>2686.02916666667</v>
      </c>
      <c r="G45" s="36" t="n">
        <f aca="false">G44+G39</f>
        <v>2491.60214340278</v>
      </c>
      <c r="H45" s="36" t="n">
        <f aca="false">H44+H39</f>
        <v>2541.90214340278</v>
      </c>
      <c r="I45" s="36" t="n">
        <f aca="false">I44+I39</f>
        <v>2646.30214340278</v>
      </c>
      <c r="J45" s="36" t="n">
        <f aca="false">J44+J39</f>
        <v>2491.70214340278</v>
      </c>
      <c r="K45" s="36" t="n">
        <f aca="false">K44+K39</f>
        <v>2595.51967894118</v>
      </c>
      <c r="L45" s="36" t="n">
        <f aca="false">L44+L39</f>
        <v>3055.01967894118</v>
      </c>
      <c r="M45" s="36" t="n">
        <f aca="false">M44+M39</f>
        <v>2642.71967894118</v>
      </c>
      <c r="N45" s="36" t="n">
        <f aca="false">N44+N39</f>
        <v>2516.11967894118</v>
      </c>
      <c r="O45" s="37" t="n">
        <f aca="false">N45</f>
        <v>2516.11967894118</v>
      </c>
    </row>
    <row r="46" customFormat="false" ht="13.5" hidden="false" customHeight="true" outlineLevel="0" collapsed="false">
      <c r="A46" s="38" t="s">
        <v>142</v>
      </c>
      <c r="B46" s="39" t="n">
        <f aca="false">B43-B45</f>
        <v>1094.37083333333</v>
      </c>
      <c r="C46" s="39" t="n">
        <f aca="false">C43-C45</f>
        <v>1414.27083333333</v>
      </c>
      <c r="D46" s="39" t="n">
        <f aca="false">D43-D45</f>
        <v>1069.27083333333</v>
      </c>
      <c r="E46" s="39" t="n">
        <f aca="false">E43-E45</f>
        <v>1203.57083333333</v>
      </c>
      <c r="F46" s="39" t="n">
        <f aca="false">F43-F45</f>
        <v>1313.97083333333</v>
      </c>
      <c r="G46" s="39" t="n">
        <f aca="false">G43-G45</f>
        <v>1508.39785659722</v>
      </c>
      <c r="H46" s="39" t="n">
        <f aca="false">H43-H45</f>
        <v>1458.09785659722</v>
      </c>
      <c r="I46" s="39" t="n">
        <f aca="false">I43-I45</f>
        <v>1353.69785659722</v>
      </c>
      <c r="J46" s="39" t="n">
        <f aca="false">J43-J45</f>
        <v>1508.29785659722</v>
      </c>
      <c r="K46" s="39" t="n">
        <f aca="false">K43-K45</f>
        <v>1404.48032105882</v>
      </c>
      <c r="L46" s="39" t="n">
        <f aca="false">L43-L45</f>
        <v>944.980321058825</v>
      </c>
      <c r="M46" s="39" t="n">
        <f aca="false">M43-M45</f>
        <v>1357.28032105883</v>
      </c>
      <c r="N46" s="39" t="n">
        <f aca="false">N43-N45</f>
        <v>1483.88032105882</v>
      </c>
      <c r="O46" s="40" t="n">
        <f aca="false">N46</f>
        <v>1483.88032105882</v>
      </c>
    </row>
    <row r="47" customFormat="false" ht="13.5" hidden="false" customHeight="true" outlineLevel="0" collapsed="false">
      <c r="A47" s="35" t="s">
        <v>143</v>
      </c>
      <c r="B47" s="44" t="n">
        <f aca="false">B41+B46</f>
        <v>1344.37083333333</v>
      </c>
      <c r="C47" s="44" t="n">
        <f aca="false">C41+C46</f>
        <v>1664.27083333333</v>
      </c>
      <c r="D47" s="44" t="n">
        <f aca="false">D41+D46</f>
        <v>1319.27083333333</v>
      </c>
      <c r="E47" s="44" t="n">
        <f aca="false">E41+E46</f>
        <v>1453.57083333333</v>
      </c>
      <c r="F47" s="44" t="n">
        <f aca="false">F41+F46</f>
        <v>1563.97083333333</v>
      </c>
      <c r="G47" s="44" t="n">
        <f aca="false">G41+G46</f>
        <v>1758.39785659722</v>
      </c>
      <c r="H47" s="44" t="n">
        <f aca="false">H41+H46</f>
        <v>1708.09785659722</v>
      </c>
      <c r="I47" s="44" t="n">
        <f aca="false">I41+I46</f>
        <v>1603.69785659722</v>
      </c>
      <c r="J47" s="44" t="n">
        <f aca="false">J41+J46</f>
        <v>1758.29785659722</v>
      </c>
      <c r="K47" s="44" t="n">
        <f aca="false">K41+K46</f>
        <v>1654.48032105882</v>
      </c>
      <c r="L47" s="44" t="n">
        <f aca="false">L41+L46</f>
        <v>1194.98032105882</v>
      </c>
      <c r="M47" s="44" t="n">
        <f aca="false">M41+M46</f>
        <v>1607.28032105883</v>
      </c>
      <c r="N47" s="44" t="n">
        <f aca="false">N41+N46</f>
        <v>1733.88032105882</v>
      </c>
      <c r="O47" s="44" t="n">
        <f aca="false">N47</f>
        <v>1733.88032105882</v>
      </c>
    </row>
    <row r="48" customFormat="false" ht="13.5" hidden="false" customHeight="true" outlineLevel="0" collapsed="false">
      <c r="A48" s="38" t="s">
        <v>144</v>
      </c>
      <c r="B48" s="39" t="n">
        <f aca="false">Assumptions!$B$18</f>
        <v>1000</v>
      </c>
      <c r="C48" s="39" t="n">
        <f aca="false">Assumptions!$B$18</f>
        <v>1000</v>
      </c>
      <c r="D48" s="39" t="n">
        <f aca="false">Assumptions!$B$18</f>
        <v>1000</v>
      </c>
      <c r="E48" s="39" t="n">
        <f aca="false">Assumptions!$B$18</f>
        <v>1000</v>
      </c>
      <c r="F48" s="39" t="n">
        <f aca="false">Assumptions!$B$18</f>
        <v>1000</v>
      </c>
      <c r="G48" s="39" t="n">
        <f aca="false">Assumptions!$B$18</f>
        <v>1000</v>
      </c>
      <c r="H48" s="39" t="n">
        <f aca="false">Assumptions!$B$18</f>
        <v>1000</v>
      </c>
      <c r="I48" s="39" t="n">
        <f aca="false">Assumptions!$B$18</f>
        <v>1000</v>
      </c>
      <c r="J48" s="39" t="n">
        <f aca="false">Assumptions!$B$18</f>
        <v>1000</v>
      </c>
      <c r="K48" s="39" t="n">
        <f aca="false">Assumptions!$B$18</f>
        <v>1000</v>
      </c>
      <c r="L48" s="39" t="n">
        <f aca="false">Assumptions!$B$18</f>
        <v>1000</v>
      </c>
      <c r="M48" s="39" t="n">
        <f aca="false">Assumptions!$B$18</f>
        <v>1000</v>
      </c>
      <c r="N48" s="39" t="n">
        <f aca="false">Assumptions!$B$18</f>
        <v>1000</v>
      </c>
      <c r="O48" s="40" t="n">
        <f aca="false">N48</f>
        <v>1000</v>
      </c>
    </row>
    <row r="49" customFormat="false" ht="13.5" hidden="false" customHeight="true" outlineLevel="0" collapsed="false">
      <c r="A49" s="35" t="s">
        <v>145</v>
      </c>
      <c r="B49" s="45" t="n">
        <f aca="false">B47-B48</f>
        <v>344.370833333333</v>
      </c>
      <c r="C49" s="45" t="n">
        <f aca="false">C47-C48</f>
        <v>664.270833333334</v>
      </c>
      <c r="D49" s="45" t="n">
        <f aca="false">D47-D48</f>
        <v>319.270833333334</v>
      </c>
      <c r="E49" s="45" t="n">
        <f aca="false">E47-E48</f>
        <v>453.570833333333</v>
      </c>
      <c r="F49" s="45" t="n">
        <f aca="false">F47-F48</f>
        <v>563.970833333333</v>
      </c>
      <c r="G49" s="45" t="n">
        <f aca="false">G47-G48</f>
        <v>758.397856597222</v>
      </c>
      <c r="H49" s="45" t="n">
        <f aca="false">H47-H48</f>
        <v>708.097856597222</v>
      </c>
      <c r="I49" s="45" t="n">
        <f aca="false">I47-I48</f>
        <v>603.697856597222</v>
      </c>
      <c r="J49" s="45" t="n">
        <f aca="false">J47-J48</f>
        <v>758.297856597222</v>
      </c>
      <c r="K49" s="45" t="n">
        <f aca="false">K47-K48</f>
        <v>654.480321058825</v>
      </c>
      <c r="L49" s="45" t="n">
        <f aca="false">L47-L48</f>
        <v>194.980321058825</v>
      </c>
      <c r="M49" s="45" t="n">
        <f aca="false">M47-M48</f>
        <v>607.280321058825</v>
      </c>
      <c r="N49" s="45" t="n">
        <f aca="false">N47-N48</f>
        <v>733.880321058825</v>
      </c>
      <c r="O49" s="43" t="n">
        <f aca="false">N49</f>
        <v>733.880321058825</v>
      </c>
    </row>
    <row r="50" customFormat="false" ht="15" hidden="false" customHeight="true" outlineLevel="0" collapsed="false">
      <c r="A50" s="35" t="s">
        <v>146</v>
      </c>
      <c r="B50" s="46" t="str">
        <f aca="false">IF(B49&gt;=0,"pass","BREACH")</f>
        <v>pass</v>
      </c>
      <c r="C50" s="46" t="str">
        <f aca="false">IF(C49&gt;=0,"pass","BREACH")</f>
        <v>pass</v>
      </c>
      <c r="D50" s="46" t="str">
        <f aca="false">IF(D49&gt;=0,"pass","BREACH")</f>
        <v>pass</v>
      </c>
      <c r="E50" s="46" t="str">
        <f aca="false">IF(E49&gt;=0,"pass","BREACH")</f>
        <v>pass</v>
      </c>
      <c r="F50" s="46" t="str">
        <f aca="false">IF(F49&gt;=0,"pass","BREACH")</f>
        <v>pass</v>
      </c>
      <c r="G50" s="46" t="str">
        <f aca="false">IF(G49&gt;=0,"pass","BREACH")</f>
        <v>pass</v>
      </c>
      <c r="H50" s="46" t="str">
        <f aca="false">IF(H49&gt;=0,"pass","BREACH")</f>
        <v>pass</v>
      </c>
      <c r="I50" s="46" t="str">
        <f aca="false">IF(I49&gt;=0,"pass","BREACH")</f>
        <v>pass</v>
      </c>
      <c r="J50" s="46" t="str">
        <f aca="false">IF(J49&gt;=0,"pass","BREACH")</f>
        <v>pass</v>
      </c>
      <c r="K50" s="46" t="str">
        <f aca="false">IF(K49&gt;=0,"pass","BREACH")</f>
        <v>pass</v>
      </c>
      <c r="L50" s="46" t="str">
        <f aca="false">IF(L49&gt;=0,"pass","BREACH")</f>
        <v>pass</v>
      </c>
      <c r="M50" s="46" t="str">
        <f aca="false">IF(M49&gt;=0,"pass","BREACH")</f>
        <v>pass</v>
      </c>
      <c r="N50" s="46" t="str">
        <f aca="false">IF(N49&gt;=0,"pass","BREACH")</f>
        <v>pass</v>
      </c>
      <c r="O50" s="46" t="str">
        <f aca="false">IF(MIN(B49:N49)&gt;=0,"pass","BREACH")</f>
        <v>pass</v>
      </c>
    </row>
    <row r="52" customFormat="false" ht="13.5" hidden="false" customHeight="true" outlineLevel="0" collapsed="false">
      <c r="A52" s="38" t="s">
        <v>147</v>
      </c>
      <c r="B52" s="39" t="n">
        <f aca="false">Assumptions!$B$16</f>
        <v>2400</v>
      </c>
      <c r="C52" s="39" t="n">
        <f aca="false">B53</f>
        <v>2400</v>
      </c>
      <c r="D52" s="39" t="n">
        <f aca="false">C53</f>
        <v>2400</v>
      </c>
      <c r="E52" s="39" t="n">
        <f aca="false">D53</f>
        <v>2400</v>
      </c>
      <c r="F52" s="39" t="n">
        <f aca="false">E53</f>
        <v>2400</v>
      </c>
      <c r="G52" s="39" t="n">
        <f aca="false">F53</f>
        <v>2400</v>
      </c>
      <c r="H52" s="39" t="n">
        <f aca="false">G53</f>
        <v>2400</v>
      </c>
      <c r="I52" s="39" t="n">
        <f aca="false">H53</f>
        <v>2400</v>
      </c>
      <c r="J52" s="39" t="n">
        <f aca="false">I53</f>
        <v>2400</v>
      </c>
      <c r="K52" s="39" t="n">
        <f aca="false">J53</f>
        <v>2400</v>
      </c>
      <c r="L52" s="39" t="n">
        <f aca="false">K53</f>
        <v>2200</v>
      </c>
      <c r="M52" s="39" t="n">
        <f aca="false">L53</f>
        <v>2200</v>
      </c>
      <c r="N52" s="39" t="n">
        <f aca="false">M53</f>
        <v>2200</v>
      </c>
      <c r="O52" s="40" t="n">
        <f aca="false">N52</f>
        <v>2200</v>
      </c>
    </row>
    <row r="53" customFormat="false" ht="13.5" hidden="false" customHeight="true" outlineLevel="0" collapsed="false">
      <c r="A53" s="38" t="s">
        <v>148</v>
      </c>
      <c r="B53" s="39" t="n">
        <f aca="false">B52+B33</f>
        <v>2400</v>
      </c>
      <c r="C53" s="39" t="n">
        <f aca="false">C52+C33</f>
        <v>2400</v>
      </c>
      <c r="D53" s="39" t="n">
        <f aca="false">D52+D33</f>
        <v>2400</v>
      </c>
      <c r="E53" s="39" t="n">
        <f aca="false">E52+E33</f>
        <v>2400</v>
      </c>
      <c r="F53" s="39" t="n">
        <f aca="false">F52+F33</f>
        <v>2400</v>
      </c>
      <c r="G53" s="39" t="n">
        <f aca="false">G52+G33</f>
        <v>2400</v>
      </c>
      <c r="H53" s="39" t="n">
        <f aca="false">H52+H33</f>
        <v>2400</v>
      </c>
      <c r="I53" s="39" t="n">
        <f aca="false">I52+I33</f>
        <v>2400</v>
      </c>
      <c r="J53" s="39" t="n">
        <f aca="false">J52+J33</f>
        <v>2400</v>
      </c>
      <c r="K53" s="39" t="n">
        <f aca="false">K52+K33</f>
        <v>2200</v>
      </c>
      <c r="L53" s="39" t="n">
        <f aca="false">L52+L33</f>
        <v>2200</v>
      </c>
      <c r="M53" s="39" t="n">
        <f aca="false">M52+M33</f>
        <v>2200</v>
      </c>
      <c r="N53" s="39" t="n">
        <f aca="false">N52+N33</f>
        <v>2200</v>
      </c>
      <c r="O53" s="40" t="n">
        <f aca="false">N53</f>
        <v>2200</v>
      </c>
    </row>
    <row r="55" customFormat="false" ht="13.5" hidden="false" customHeight="true" outlineLevel="0" collapsed="false">
      <c r="A55" s="38" t="s">
        <v>149</v>
      </c>
      <c r="B55" s="39" t="n">
        <f aca="false">B36</f>
        <v>174.370833333333</v>
      </c>
      <c r="C55" s="39" t="n">
        <f aca="false">B55+C36</f>
        <v>494.270833333333</v>
      </c>
      <c r="D55" s="39" t="n">
        <f aca="false">C55+D36</f>
        <v>149.270833333333</v>
      </c>
      <c r="E55" s="39" t="n">
        <f aca="false">D55+E36</f>
        <v>283.570833333333</v>
      </c>
      <c r="F55" s="39" t="n">
        <f aca="false">E55+F36</f>
        <v>393.970833333333</v>
      </c>
      <c r="G55" s="39" t="n">
        <f aca="false">F55+G36</f>
        <v>588.397856597222</v>
      </c>
      <c r="H55" s="39" t="n">
        <f aca="false">G55+H36</f>
        <v>538.097856597222</v>
      </c>
      <c r="I55" s="39" t="n">
        <f aca="false">H55+I36</f>
        <v>433.697856597222</v>
      </c>
      <c r="J55" s="39" t="n">
        <f aca="false">I55+J36</f>
        <v>588.297856597222</v>
      </c>
      <c r="K55" s="39" t="n">
        <f aca="false">J55+K36</f>
        <v>484.480321058825</v>
      </c>
      <c r="L55" s="39" t="n">
        <f aca="false">K55+L36</f>
        <v>24.9803210588248</v>
      </c>
      <c r="M55" s="39" t="n">
        <f aca="false">L55+M36</f>
        <v>437.280321058825</v>
      </c>
      <c r="N55" s="39" t="n">
        <f aca="false">M55+N36</f>
        <v>563.880321058825</v>
      </c>
      <c r="O55" s="40" t="n">
        <f aca="false">N55</f>
        <v>563.880321058825</v>
      </c>
    </row>
    <row r="57" customFormat="false" ht="25.5" hidden="false" customHeight="true" outlineLevel="0" collapsed="false">
      <c r="A57" s="47" t="s">
        <v>150</v>
      </c>
      <c r="B57" s="47"/>
      <c r="C57" s="47"/>
      <c r="D57" s="47"/>
      <c r="E57" s="47"/>
      <c r="F57" s="47"/>
      <c r="G57" s="47"/>
      <c r="H57" s="47"/>
      <c r="I57" s="47"/>
      <c r="J57" s="47"/>
      <c r="K57" s="47"/>
      <c r="L57" s="47"/>
      <c r="M57" s="47"/>
      <c r="N57" s="47"/>
      <c r="O57" s="47"/>
    </row>
    <row r="58" customFormat="false" ht="15" hidden="false" customHeight="false" outlineLevel="0" collapsed="false">
      <c r="A58" s="28" t="s">
        <v>151</v>
      </c>
      <c r="B58" s="28"/>
      <c r="C58" s="28"/>
      <c r="D58" s="28"/>
      <c r="E58" s="28"/>
      <c r="F58" s="28"/>
      <c r="G58" s="28"/>
      <c r="H58" s="28"/>
      <c r="I58" s="28"/>
      <c r="J58" s="28"/>
      <c r="K58" s="28"/>
      <c r="L58" s="28"/>
      <c r="M58" s="28"/>
      <c r="N58" s="28"/>
      <c r="O58" s="28"/>
    </row>
  </sheetData>
  <mergeCells count="7">
    <mergeCell ref="A1:O1"/>
    <mergeCell ref="A2:O2"/>
    <mergeCell ref="A11:O11"/>
    <mergeCell ref="A20:O20"/>
    <mergeCell ref="A38:O38"/>
    <mergeCell ref="A57:O57"/>
    <mergeCell ref="A58:O58"/>
  </mergeCells>
  <conditionalFormatting sqref="B47:N47">
    <cfRule type="expression" priority="2" aboveAverage="0" equalAverage="0" bottom="0" percent="0" rank="0" text="" dxfId="0">
      <formula>B47&lt;B$48</formula>
    </cfRule>
  </conditionalFormatting>
  <conditionalFormatting sqref="B49:N49">
    <cfRule type="expression" priority="3" aboveAverage="0" equalAverage="0" bottom="0" percent="0" rank="0" text="" dxfId="1">
      <formula>B49&lt;0</formula>
    </cfRule>
  </conditionalFormatting>
  <conditionalFormatting sqref="B50:N50">
    <cfRule type="expression" priority="4" aboveAverage="0" equalAverage="0" bottom="0" percent="0" rank="0" text="" dxfId="0">
      <formula>B50="BREACH"</formula>
    </cfRule>
    <cfRule type="expression" priority="5" aboveAverage="0" equalAverage="0" bottom="0" percent="0" rank="0" text="" dxfId="2">
      <formula>B50="pass"</formula>
    </cfRule>
  </conditionalFormatting>
  <conditionalFormatting sqref="B55:N55">
    <cfRule type="dataBar" priority="6">
      <dataBar showValue="1" minLength="10" maxLength="90">
        <cfvo type="num" val="-2500"/>
        <cfvo type="num" val="2500"/>
        <color rgb="FF8A9C00"/>
      </dataBar>
      <extLst>
        <ext xmlns:x14="http://schemas.microsoft.com/office/spreadsheetml/2009/9/main" uri="{B025F937-C7B1-47D3-B67F-A62EFF666E3E}">
          <x14:id>{7D12C27D-1A69-4214-8814-D7FF5330CD70}</x14:id>
        </ext>
      </extLst>
    </cfRule>
  </conditionalFormatting>
  <conditionalFormatting sqref="B36:N36">
    <cfRule type="expression" priority="7" aboveAverage="0" equalAverage="0" bottom="0" percent="0" rank="0" text="" dxfId="1">
      <formula>B36&lt;0</formula>
    </cfRule>
  </conditionalFormatting>
  <printOptions headings="false" gridLines="false" gridLinesSet="true" horizontalCentered="false" verticalCentered="false"/>
  <pageMargins left="0.3" right="0.3" top="0.4" bottom="0.4" header="0.5" footer="0.5"/>
  <pageSetup paperSize="9" scale="100" fitToWidth="1" fitToHeight="1" pageOrder="downThenOver" orientation="landscape" blackAndWhite="false" draft="false" cellComments="none" horizontalDpi="300" verticalDpi="300" copies="1"/>
  <headerFooter differentFirst="false" differentOddEven="false">
    <oddHeader>&amp;L&amp;"Arial,Bold"&amp;9Halcyon Metalworks Kft.&amp;R&amp;"Arial,Regular"&amp;913-WEEK ROLLING CASH FLOW FORECAST</oddHeader>
    <oddFooter>&amp;L&amp;"Arial,Regular"&amp;8Illustrative sample - fictional data - prepared by Tarlan Charkasov, ACCA&amp;R&amp;"Arial,Regular"&amp;8Page &amp;P of &amp;N</oddFooter>
  </headerFooter>
  <legacyDrawing r:id="rId2"/>
  <extLst>
    <ext xmlns:x14="http://schemas.microsoft.com/office/spreadsheetml/2009/9/main" uri="{78C0D931-6437-407d-A8EE-F0AAD7539E65}">
      <x14:conditionalFormattings>
        <x14:conditionalFormatting xmlns:xm="http://schemas.microsoft.com/office/excel/2006/main">
          <x14:cfRule type="dataBar" id="{7D12C27D-1A69-4214-8814-D7FF5330CD70}">
            <x14:dataBar minLength="10" maxLength="90" axisPosition="none" gradient="true">
              <x14:cfvo type="num">
                <xm:f>-2500</xm:f>
              </x14:cfvo>
              <x14:cfvo type="num">
                <xm:f>2500</xm:f>
              </x14:cfvo>
              <x14:negativeFillColor rgb="FF8A9C00"/>
              <x14:axisColor rgb="FF000000"/>
            </x14:dataBar>
          </x14:cfRule>
          <xm:sqref>B55:N55</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R2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34"/>
    <col collapsed="false" customWidth="true" hidden="false" outlineLevel="0" max="3" min="3" style="0" width="7"/>
    <col collapsed="false" customWidth="true" hidden="false" outlineLevel="0" max="4" min="4" style="0" width="34"/>
    <col collapsed="false" customWidth="true" hidden="false" outlineLevel="0" max="5" min="5" style="0" width="15"/>
    <col collapsed="false" customWidth="true" hidden="false" outlineLevel="0" max="7" min="6" style="0" width="12"/>
    <col collapsed="false" customWidth="true" hidden="false" outlineLevel="0" max="8" min="8" style="0" width="8"/>
    <col collapsed="false" customWidth="true" hidden="false" outlineLevel="0" max="9" min="9" style="0" width="12"/>
    <col collapsed="false" customWidth="true" hidden="false" outlineLevel="0" max="10" min="10" style="0" width="9"/>
    <col collapsed="false" customWidth="true" hidden="false" outlineLevel="0" max="11" min="11" style="0" width="20"/>
    <col collapsed="false" customWidth="true" hidden="false" outlineLevel="0" max="12" min="12" style="0" width="12"/>
    <col collapsed="false" customWidth="true" hidden="false" outlineLevel="0" max="13" min="13" style="0" width="8"/>
    <col collapsed="false" customWidth="true" hidden="false" outlineLevel="0" max="14" min="14" style="0" width="13"/>
    <col collapsed="false" customWidth="true" hidden="false" outlineLevel="0" max="15" min="15" style="0" width="12"/>
    <col collapsed="false" customWidth="true" hidden="false" outlineLevel="0" max="16" min="16" style="0" width="34"/>
    <col collapsed="false" customWidth="true" hidden="false" outlineLevel="0" max="17" min="17" style="0" width="9"/>
    <col collapsed="false" customWidth="true" hidden="false" outlineLevel="0" max="18" min="18" style="0" width="52"/>
  </cols>
  <sheetData>
    <row r="1" customFormat="false" ht="24" hidden="false" customHeight="true" outlineLevel="0" collapsed="false">
      <c r="A1" s="29" t="s">
        <v>152</v>
      </c>
      <c r="B1" s="29"/>
      <c r="C1" s="29"/>
      <c r="D1" s="29"/>
      <c r="E1" s="29"/>
      <c r="F1" s="29"/>
      <c r="G1" s="29"/>
      <c r="H1" s="29"/>
      <c r="I1" s="29"/>
      <c r="J1" s="29"/>
      <c r="K1" s="29"/>
      <c r="L1" s="29"/>
      <c r="M1" s="29"/>
      <c r="N1" s="29"/>
      <c r="O1" s="29"/>
      <c r="P1" s="29"/>
      <c r="Q1" s="29"/>
      <c r="R1" s="29"/>
    </row>
    <row r="2" customFormat="false" ht="15" hidden="false" customHeight="true" outlineLevel="0" collapsed="false">
      <c r="A2" s="48" t="s">
        <v>153</v>
      </c>
      <c r="B2" s="48"/>
      <c r="C2" s="48"/>
      <c r="D2" s="48"/>
      <c r="E2" s="48"/>
      <c r="F2" s="48"/>
      <c r="G2" s="48"/>
      <c r="H2" s="48"/>
      <c r="I2" s="48"/>
      <c r="J2" s="48"/>
      <c r="K2" s="48"/>
      <c r="L2" s="48"/>
      <c r="M2" s="48"/>
      <c r="N2" s="48"/>
      <c r="O2" s="48"/>
      <c r="P2" s="48"/>
      <c r="Q2" s="48"/>
      <c r="R2" s="48"/>
    </row>
    <row r="4" customFormat="false" ht="16.5" hidden="false" customHeight="true" outlineLevel="0" collapsed="false">
      <c r="A4" s="10" t="s">
        <v>154</v>
      </c>
      <c r="B4" s="10"/>
      <c r="C4" s="10"/>
      <c r="D4" s="10"/>
      <c r="E4" s="10"/>
      <c r="F4" s="10"/>
      <c r="G4" s="10"/>
      <c r="H4" s="10"/>
      <c r="I4" s="10"/>
      <c r="J4" s="10"/>
      <c r="K4" s="10"/>
      <c r="L4" s="10"/>
      <c r="M4" s="10"/>
      <c r="N4" s="10"/>
      <c r="O4" s="10"/>
      <c r="P4" s="10"/>
      <c r="Q4" s="10"/>
      <c r="R4" s="10"/>
    </row>
    <row r="5" customFormat="false" ht="27.75" hidden="false" customHeight="true" outlineLevel="0" collapsed="false">
      <c r="B5" s="12" t="s">
        <v>155</v>
      </c>
      <c r="C5" s="12" t="s">
        <v>156</v>
      </c>
      <c r="D5" s="12" t="s">
        <v>157</v>
      </c>
      <c r="E5" s="12" t="s">
        <v>158</v>
      </c>
      <c r="F5" s="12" t="s">
        <v>159</v>
      </c>
      <c r="G5" s="12" t="s">
        <v>160</v>
      </c>
      <c r="H5" s="12" t="s">
        <v>161</v>
      </c>
      <c r="I5" s="12" t="s">
        <v>162</v>
      </c>
      <c r="J5" s="12" t="s">
        <v>163</v>
      </c>
      <c r="K5" s="12" t="s">
        <v>164</v>
      </c>
      <c r="L5" s="12"/>
      <c r="M5" s="12"/>
      <c r="N5" s="12"/>
      <c r="O5" s="12"/>
      <c r="P5" s="12"/>
      <c r="Q5" s="12"/>
      <c r="R5" s="12" t="s">
        <v>165</v>
      </c>
    </row>
    <row r="6" customFormat="false" ht="21.75" hidden="false" customHeight="true" outlineLevel="0" collapsed="false">
      <c r="A6" s="49" t="n">
        <v>1</v>
      </c>
      <c r="B6" s="50" t="s">
        <v>166</v>
      </c>
      <c r="C6" s="51" t="s">
        <v>167</v>
      </c>
      <c r="D6" s="52" t="s">
        <v>111</v>
      </c>
      <c r="E6" s="49" t="s">
        <v>168</v>
      </c>
      <c r="F6" s="53" t="n">
        <v>0.34</v>
      </c>
      <c r="G6" s="54" t="n">
        <v>90</v>
      </c>
      <c r="H6" s="54" t="n">
        <v>4</v>
      </c>
      <c r="I6" s="55" t="n">
        <f aca="false">G6+H6</f>
        <v>94</v>
      </c>
      <c r="J6" s="56" t="n">
        <f aca="false">SUMIFS($O$34:$O$98,$B$34:$B$98,$B6,$N$34:$N$98,"&gt;="&amp;'Weekly Cash Flow'!$B$5,$N$34:$N$98,"&lt;="&amp;'Weekly Cash Flow'!$N$6)+SUMIFS($O$103:$O$207,$B$103:$B$207,$B6,$N$103:$N$207,"&gt;="&amp;'Weekly Cash Flow'!$B$5,$N$103:$N$207,"&lt;="&amp;'Weekly Cash Flow'!$N$6)</f>
        <v>3153.9</v>
      </c>
      <c r="K6" s="57" t="n">
        <f aca="false">IFERROR(J6/$J$13,0)</f>
        <v>0.364713909061474</v>
      </c>
      <c r="R6" s="58" t="s">
        <v>169</v>
      </c>
    </row>
    <row r="7" customFormat="false" ht="21.75" hidden="false" customHeight="true" outlineLevel="0" collapsed="false">
      <c r="A7" s="49" t="n">
        <v>2</v>
      </c>
      <c r="B7" s="50" t="s">
        <v>170</v>
      </c>
      <c r="C7" s="51" t="s">
        <v>167</v>
      </c>
      <c r="D7" s="52" t="s">
        <v>111</v>
      </c>
      <c r="E7" s="49" t="s">
        <v>168</v>
      </c>
      <c r="F7" s="53" t="n">
        <v>0.21</v>
      </c>
      <c r="G7" s="54" t="n">
        <v>75</v>
      </c>
      <c r="H7" s="54" t="n">
        <v>2</v>
      </c>
      <c r="I7" s="55" t="n">
        <f aca="false">G7+H7</f>
        <v>77</v>
      </c>
      <c r="J7" s="56" t="n">
        <f aca="false">SUMIFS($O$34:$O$98,$B$34:$B$98,$B7,$N$34:$N$98,"&gt;="&amp;'Weekly Cash Flow'!$B$5,$N$34:$N$98,"&lt;="&amp;'Weekly Cash Flow'!$N$6)+SUMIFS($O$103:$O$207,$B$103:$B$207,$B7,$N$103:$N$207,"&gt;="&amp;'Weekly Cash Flow'!$B$5,$N$103:$N$207,"&lt;="&amp;'Weekly Cash Flow'!$N$6)</f>
        <v>1840.9</v>
      </c>
      <c r="K7" s="57" t="n">
        <f aca="false">IFERROR(J7/$J$13,0)</f>
        <v>0.212879874184745</v>
      </c>
      <c r="R7" s="58" t="s">
        <v>171</v>
      </c>
    </row>
    <row r="8" customFormat="false" ht="21.75" hidden="false" customHeight="true" outlineLevel="0" collapsed="false">
      <c r="A8" s="49" t="n">
        <v>3</v>
      </c>
      <c r="B8" s="50" t="s">
        <v>172</v>
      </c>
      <c r="C8" s="51" t="s">
        <v>173</v>
      </c>
      <c r="D8" s="52" t="s">
        <v>111</v>
      </c>
      <c r="E8" s="49" t="s">
        <v>168</v>
      </c>
      <c r="F8" s="53" t="n">
        <v>0.12</v>
      </c>
      <c r="G8" s="54" t="n">
        <v>60</v>
      </c>
      <c r="H8" s="54" t="n">
        <v>9</v>
      </c>
      <c r="I8" s="55" t="n">
        <f aca="false">G8+H8</f>
        <v>69</v>
      </c>
      <c r="J8" s="56" t="n">
        <f aca="false">SUMIFS($O$34:$O$98,$B$34:$B$98,$B8,$N$34:$N$98,"&gt;="&amp;'Weekly Cash Flow'!$B$5,$N$34:$N$98,"&lt;="&amp;'Weekly Cash Flow'!$N$6)+SUMIFS($O$103:$O$207,$B$103:$B$207,$B8,$N$103:$N$207,"&gt;="&amp;'Weekly Cash Flow'!$B$5,$N$103:$N$207,"&lt;="&amp;'Weekly Cash Flow'!$N$6)</f>
        <v>985.3</v>
      </c>
      <c r="K8" s="57" t="n">
        <f aca="false">IFERROR(J8/$J$13,0)</f>
        <v>0.113939127619224</v>
      </c>
      <c r="R8" s="58" t="s">
        <v>174</v>
      </c>
    </row>
    <row r="9" customFormat="false" ht="21.75" hidden="false" customHeight="true" outlineLevel="0" collapsed="false">
      <c r="A9" s="49" t="n">
        <v>4</v>
      </c>
      <c r="B9" s="50" t="s">
        <v>175</v>
      </c>
      <c r="C9" s="51" t="s">
        <v>176</v>
      </c>
      <c r="D9" s="52" t="s">
        <v>112</v>
      </c>
      <c r="E9" s="49" t="s">
        <v>177</v>
      </c>
      <c r="F9" s="53" t="n">
        <v>0.14</v>
      </c>
      <c r="G9" s="54" t="n">
        <v>60</v>
      </c>
      <c r="H9" s="54" t="n">
        <v>6</v>
      </c>
      <c r="I9" s="55" t="n">
        <f aca="false">G9+H9</f>
        <v>66</v>
      </c>
      <c r="J9" s="56" t="n">
        <f aca="false">SUMIFS($O$34:$O$98,$B$34:$B$98,$B9,$N$34:$N$98,"&gt;="&amp;'Weekly Cash Flow'!$B$5,$N$34:$N$98,"&lt;="&amp;'Weekly Cash Flow'!$N$6)+SUMIFS($O$103:$O$207,$B$103:$B$207,$B9,$N$103:$N$207,"&gt;="&amp;'Weekly Cash Flow'!$B$5,$N$103:$N$207,"&lt;="&amp;'Weekly Cash Flow'!$N$6)</f>
        <v>1149.6</v>
      </c>
      <c r="K9" s="57" t="n">
        <f aca="false">IFERROR(J9/$J$13,0)</f>
        <v>0.13293861880753</v>
      </c>
      <c r="R9" s="58" t="s">
        <v>178</v>
      </c>
    </row>
    <row r="10" customFormat="false" ht="21.75" hidden="false" customHeight="true" outlineLevel="0" collapsed="false">
      <c r="A10" s="49" t="n">
        <v>5</v>
      </c>
      <c r="B10" s="50" t="s">
        <v>179</v>
      </c>
      <c r="C10" s="51" t="s">
        <v>180</v>
      </c>
      <c r="D10" s="52" t="s">
        <v>112</v>
      </c>
      <c r="E10" s="49" t="s">
        <v>177</v>
      </c>
      <c r="F10" s="53" t="n">
        <v>0.08</v>
      </c>
      <c r="G10" s="54" t="n">
        <v>45</v>
      </c>
      <c r="H10" s="54" t="n">
        <v>3</v>
      </c>
      <c r="I10" s="55" t="n">
        <f aca="false">G10+H10</f>
        <v>48</v>
      </c>
      <c r="J10" s="56" t="n">
        <f aca="false">SUMIFS($O$34:$O$98,$B$34:$B$98,$B10,$N$34:$N$98,"&gt;="&amp;'Weekly Cash Flow'!$B$5,$N$34:$N$98,"&lt;="&amp;'Weekly Cash Flow'!$N$6)+SUMIFS($O$103:$O$207,$B$103:$B$207,$B10,$N$103:$N$207,"&gt;="&amp;'Weekly Cash Flow'!$B$5,$N$103:$N$207,"&lt;="&amp;'Weekly Cash Flow'!$N$6)</f>
        <v>606.9</v>
      </c>
      <c r="K10" s="57" t="n">
        <f aca="false">IFERROR(J10/$J$13,0)</f>
        <v>0.0701813219852907</v>
      </c>
      <c r="R10" s="58" t="s">
        <v>181</v>
      </c>
    </row>
    <row r="11" customFormat="false" ht="21.75" hidden="false" customHeight="true" outlineLevel="0" collapsed="false">
      <c r="A11" s="49" t="n">
        <v>6</v>
      </c>
      <c r="B11" s="50" t="s">
        <v>182</v>
      </c>
      <c r="C11" s="51" t="s">
        <v>167</v>
      </c>
      <c r="D11" s="52" t="s">
        <v>112</v>
      </c>
      <c r="E11" s="49" t="s">
        <v>177</v>
      </c>
      <c r="F11" s="53" t="n">
        <v>0.07</v>
      </c>
      <c r="G11" s="54" t="n">
        <v>30</v>
      </c>
      <c r="H11" s="54" t="n">
        <v>1</v>
      </c>
      <c r="I11" s="55" t="n">
        <f aca="false">G11+H11</f>
        <v>31</v>
      </c>
      <c r="J11" s="56" t="n">
        <f aca="false">SUMIFS($O$34:$O$98,$B$34:$B$98,$B11,$N$34:$N$98,"&gt;="&amp;'Weekly Cash Flow'!$B$5,$N$34:$N$98,"&lt;="&amp;'Weekly Cash Flow'!$N$6)+SUMIFS($O$103:$O$207,$B$103:$B$207,$B11,$N$103:$N$207,"&gt;="&amp;'Weekly Cash Flow'!$B$5,$N$103:$N$207,"&lt;="&amp;'Weekly Cash Flow'!$N$6)</f>
        <v>541.5</v>
      </c>
      <c r="K11" s="57" t="n">
        <f aca="false">IFERROR(J11/$J$13,0)</f>
        <v>0.0626185299967621</v>
      </c>
      <c r="R11" s="58" t="s">
        <v>183</v>
      </c>
    </row>
    <row r="12" customFormat="false" ht="21.75" hidden="false" customHeight="true" outlineLevel="0" collapsed="false">
      <c r="A12" s="49" t="n">
        <v>7</v>
      </c>
      <c r="B12" s="50" t="s">
        <v>184</v>
      </c>
      <c r="C12" s="51" t="s">
        <v>185</v>
      </c>
      <c r="D12" s="52" t="s">
        <v>113</v>
      </c>
      <c r="E12" s="49" t="s">
        <v>186</v>
      </c>
      <c r="F12" s="53" t="n">
        <v>0.04</v>
      </c>
      <c r="G12" s="54" t="n">
        <v>30</v>
      </c>
      <c r="H12" s="54" t="n">
        <v>12</v>
      </c>
      <c r="I12" s="55" t="n">
        <f aca="false">G12+H12</f>
        <v>42</v>
      </c>
      <c r="J12" s="56" t="n">
        <f aca="false">SUMIFS($O$34:$O$98,$B$34:$B$98,$B12,$N$34:$N$98,"&gt;="&amp;'Weekly Cash Flow'!$B$5,$N$34:$N$98,"&lt;="&amp;'Weekly Cash Flow'!$N$6)+SUMIFS($O$103:$O$207,$B$103:$B$207,$B12,$N$103:$N$207,"&gt;="&amp;'Weekly Cash Flow'!$B$5,$N$103:$N$207,"&lt;="&amp;'Weekly Cash Flow'!$N$6)</f>
        <v>369.5</v>
      </c>
      <c r="K12" s="57" t="n">
        <f aca="false">IFERROR(J12/$J$13,0)</f>
        <v>0.0427286183449743</v>
      </c>
      <c r="R12" s="58" t="s">
        <v>187</v>
      </c>
    </row>
    <row r="13" customFormat="false" ht="19.4" hidden="false" customHeight="false" outlineLevel="0" collapsed="false">
      <c r="B13" s="59" t="s">
        <v>188</v>
      </c>
      <c r="C13" s="60"/>
      <c r="D13" s="60"/>
      <c r="E13" s="60"/>
      <c r="F13" s="61" t="n">
        <f aca="false">SUM(F6:F12)</f>
        <v>1</v>
      </c>
      <c r="G13" s="62" t="n">
        <f aca="false">SUMPRODUCT($F$6:$F$12,G6:G12)</f>
        <v>68.85</v>
      </c>
      <c r="H13" s="62" t="n">
        <f aca="false">SUMPRODUCT($F$6:$F$12,H6:H12)</f>
        <v>4.49</v>
      </c>
      <c r="I13" s="62" t="n">
        <f aca="false">SUMPRODUCT($F$6:$F$12,I6:I12)</f>
        <v>73.34</v>
      </c>
      <c r="J13" s="63" t="n">
        <f aca="false">SUM(J6:J12)</f>
        <v>8647.6</v>
      </c>
      <c r="K13" s="61" t="n">
        <f aca="false">SUM(K6:K12)</f>
        <v>1</v>
      </c>
      <c r="R13" s="64" t="s">
        <v>189</v>
      </c>
    </row>
    <row r="15" customFormat="false" ht="16.5" hidden="false" customHeight="true" outlineLevel="0" collapsed="false">
      <c r="A15" s="10" t="s">
        <v>190</v>
      </c>
      <c r="B15" s="10"/>
      <c r="C15" s="10"/>
      <c r="D15" s="10"/>
      <c r="E15" s="10"/>
      <c r="F15" s="10"/>
      <c r="G15" s="10"/>
      <c r="H15" s="10"/>
      <c r="I15" s="10"/>
      <c r="J15" s="10"/>
      <c r="K15" s="10"/>
      <c r="L15" s="10"/>
      <c r="M15" s="10"/>
      <c r="N15" s="10"/>
      <c r="O15" s="10"/>
      <c r="P15" s="10"/>
      <c r="Q15" s="10"/>
      <c r="R15" s="10"/>
    </row>
    <row r="16" customFormat="false" ht="27.75" hidden="false" customHeight="true" outlineLevel="0" collapsed="false">
      <c r="B16" s="12" t="s">
        <v>103</v>
      </c>
      <c r="C16" s="12"/>
      <c r="D16" s="12" t="s">
        <v>105</v>
      </c>
      <c r="E16" s="12" t="s">
        <v>106</v>
      </c>
      <c r="F16" s="12" t="s">
        <v>191</v>
      </c>
      <c r="G16" s="12" t="s">
        <v>192</v>
      </c>
      <c r="H16" s="12" t="s">
        <v>193</v>
      </c>
      <c r="I16" s="12"/>
      <c r="J16" s="12"/>
      <c r="K16" s="12"/>
      <c r="L16" s="12"/>
      <c r="M16" s="12"/>
      <c r="N16" s="12"/>
      <c r="O16" s="12"/>
      <c r="P16" s="12"/>
      <c r="Q16" s="12"/>
      <c r="R16" s="12" t="s">
        <v>194</v>
      </c>
    </row>
    <row r="17" customFormat="false" ht="13.5" hidden="false" customHeight="true" outlineLevel="0" collapsed="false">
      <c r="A17" s="49" t="n">
        <v>1</v>
      </c>
      <c r="B17" s="13" t="s">
        <v>195</v>
      </c>
      <c r="C17" s="65"/>
      <c r="D17" s="66" t="n">
        <f aca="false">'Weekly Cash Flow'!B$5</f>
        <v>46230</v>
      </c>
      <c r="E17" s="66" t="n">
        <f aca="false">'Weekly Cash Flow'!B$6</f>
        <v>46236</v>
      </c>
      <c r="F17" s="53" t="n">
        <v>1</v>
      </c>
      <c r="G17" s="67" t="n">
        <f aca="false">ROUND(Assumptions!$B$25*F17*Scenarios!$F$7,1)</f>
        <v>669.2</v>
      </c>
      <c r="H17" s="68" t="n">
        <f aca="false">D17+4</f>
        <v>46234</v>
      </c>
      <c r="R17" s="58" t="s">
        <v>196</v>
      </c>
    </row>
    <row r="18" customFormat="false" ht="13.5" hidden="false" customHeight="true" outlineLevel="0" collapsed="false">
      <c r="A18" s="49" t="n">
        <v>2</v>
      </c>
      <c r="B18" s="13" t="s">
        <v>197</v>
      </c>
      <c r="C18" s="65"/>
      <c r="D18" s="66" t="n">
        <f aca="false">'Weekly Cash Flow'!C$5</f>
        <v>46237</v>
      </c>
      <c r="E18" s="66" t="n">
        <f aca="false">'Weekly Cash Flow'!C$6</f>
        <v>46243</v>
      </c>
      <c r="F18" s="53" t="n">
        <v>1.02</v>
      </c>
      <c r="G18" s="67" t="n">
        <f aca="false">ROUND(Assumptions!$B$25*F18*Scenarios!$F$7,1)</f>
        <v>682.6</v>
      </c>
      <c r="H18" s="68" t="n">
        <f aca="false">D18+4</f>
        <v>46241</v>
      </c>
      <c r="R18" s="58" t="s">
        <v>196</v>
      </c>
    </row>
    <row r="19" customFormat="false" ht="13.5" hidden="false" customHeight="true" outlineLevel="0" collapsed="false">
      <c r="A19" s="49" t="n">
        <v>3</v>
      </c>
      <c r="B19" s="13" t="s">
        <v>198</v>
      </c>
      <c r="C19" s="65"/>
      <c r="D19" s="66" t="n">
        <f aca="false">'Weekly Cash Flow'!D$5</f>
        <v>46244</v>
      </c>
      <c r="E19" s="66" t="n">
        <f aca="false">'Weekly Cash Flow'!D$6</f>
        <v>46250</v>
      </c>
      <c r="F19" s="53" t="n">
        <v>0.2</v>
      </c>
      <c r="G19" s="67" t="n">
        <f aca="false">ROUND(Assumptions!$B$25*F19*Scenarios!$F$7,1)</f>
        <v>133.8</v>
      </c>
      <c r="H19" s="68" t="n">
        <f aca="false">D19+4</f>
        <v>46248</v>
      </c>
      <c r="R19" s="58" t="s">
        <v>199</v>
      </c>
    </row>
    <row r="20" customFormat="false" ht="13.5" hidden="false" customHeight="true" outlineLevel="0" collapsed="false">
      <c r="A20" s="49" t="n">
        <v>4</v>
      </c>
      <c r="B20" s="13" t="s">
        <v>200</v>
      </c>
      <c r="C20" s="65"/>
      <c r="D20" s="66" t="n">
        <f aca="false">'Weekly Cash Flow'!E$5</f>
        <v>46251</v>
      </c>
      <c r="E20" s="66" t="n">
        <f aca="false">'Weekly Cash Flow'!E$6</f>
        <v>46257</v>
      </c>
      <c r="F20" s="53" t="n">
        <v>0.2</v>
      </c>
      <c r="G20" s="67" t="n">
        <f aca="false">ROUND(Assumptions!$B$25*F20*Scenarios!$F$7,1)</f>
        <v>133.8</v>
      </c>
      <c r="H20" s="68" t="n">
        <f aca="false">D20+4</f>
        <v>46255</v>
      </c>
      <c r="R20" s="58" t="s">
        <v>199</v>
      </c>
    </row>
    <row r="21" customFormat="false" ht="13.5" hidden="false" customHeight="true" outlineLevel="0" collapsed="false">
      <c r="A21" s="49" t="n">
        <v>5</v>
      </c>
      <c r="B21" s="13" t="s">
        <v>201</v>
      </c>
      <c r="C21" s="65"/>
      <c r="D21" s="66" t="n">
        <f aca="false">'Weekly Cash Flow'!F$5</f>
        <v>46258</v>
      </c>
      <c r="E21" s="66" t="n">
        <f aca="false">'Weekly Cash Flow'!F$6</f>
        <v>46264</v>
      </c>
      <c r="F21" s="53" t="n">
        <v>0.85</v>
      </c>
      <c r="G21" s="67" t="n">
        <f aca="false">ROUND(Assumptions!$B$25*F21*Scenarios!$F$7,1)</f>
        <v>568.8</v>
      </c>
      <c r="H21" s="68" t="n">
        <f aca="false">D21+4</f>
        <v>46262</v>
      </c>
      <c r="R21" s="58" t="s">
        <v>202</v>
      </c>
    </row>
    <row r="22" customFormat="false" ht="13.5" hidden="false" customHeight="true" outlineLevel="0" collapsed="false">
      <c r="A22" s="49" t="n">
        <v>6</v>
      </c>
      <c r="B22" s="13" t="s">
        <v>203</v>
      </c>
      <c r="C22" s="65"/>
      <c r="D22" s="66" t="n">
        <f aca="false">'Weekly Cash Flow'!G$5</f>
        <v>46265</v>
      </c>
      <c r="E22" s="66" t="n">
        <f aca="false">'Weekly Cash Flow'!G$6</f>
        <v>46271</v>
      </c>
      <c r="F22" s="53" t="n">
        <v>1.05</v>
      </c>
      <c r="G22" s="67" t="n">
        <f aca="false">ROUND(Assumptions!$B$25*F22*Scenarios!$F$7,1)</f>
        <v>702.7</v>
      </c>
      <c r="H22" s="68" t="n">
        <f aca="false">D22+4</f>
        <v>46269</v>
      </c>
      <c r="R22" s="58" t="s">
        <v>196</v>
      </c>
    </row>
    <row r="23" customFormat="false" ht="13.5" hidden="false" customHeight="true" outlineLevel="0" collapsed="false">
      <c r="A23" s="49" t="n">
        <v>7</v>
      </c>
      <c r="B23" s="13" t="s">
        <v>204</v>
      </c>
      <c r="C23" s="65"/>
      <c r="D23" s="66" t="n">
        <f aca="false">'Weekly Cash Flow'!H$5</f>
        <v>46272</v>
      </c>
      <c r="E23" s="66" t="n">
        <f aca="false">'Weekly Cash Flow'!H$6</f>
        <v>46278</v>
      </c>
      <c r="F23" s="53" t="n">
        <v>1.1</v>
      </c>
      <c r="G23" s="67" t="n">
        <f aca="false">ROUND(Assumptions!$B$25*F23*Scenarios!$F$7,1)</f>
        <v>736.2</v>
      </c>
      <c r="H23" s="68" t="n">
        <f aca="false">D23+4</f>
        <v>46276</v>
      </c>
      <c r="R23" s="58" t="s">
        <v>205</v>
      </c>
    </row>
    <row r="24" customFormat="false" ht="13.5" hidden="false" customHeight="true" outlineLevel="0" collapsed="false">
      <c r="A24" s="49" t="n">
        <v>8</v>
      </c>
      <c r="B24" s="13" t="s">
        <v>206</v>
      </c>
      <c r="C24" s="65"/>
      <c r="D24" s="66" t="n">
        <f aca="false">'Weekly Cash Flow'!I$5</f>
        <v>46279</v>
      </c>
      <c r="E24" s="66" t="n">
        <f aca="false">'Weekly Cash Flow'!I$6</f>
        <v>46285</v>
      </c>
      <c r="F24" s="53" t="n">
        <v>1.1</v>
      </c>
      <c r="G24" s="67" t="n">
        <f aca="false">ROUND(Assumptions!$B$25*F24*Scenarios!$F$7,1)</f>
        <v>736.2</v>
      </c>
      <c r="H24" s="68" t="n">
        <f aca="false">D24+4</f>
        <v>46283</v>
      </c>
      <c r="R24" s="58" t="s">
        <v>205</v>
      </c>
    </row>
    <row r="25" customFormat="false" ht="13.5" hidden="false" customHeight="true" outlineLevel="0" collapsed="false">
      <c r="A25" s="49" t="n">
        <v>9</v>
      </c>
      <c r="B25" s="13" t="s">
        <v>207</v>
      </c>
      <c r="C25" s="65"/>
      <c r="D25" s="66" t="n">
        <f aca="false">'Weekly Cash Flow'!J$5</f>
        <v>46286</v>
      </c>
      <c r="E25" s="66" t="n">
        <f aca="false">'Weekly Cash Flow'!J$6</f>
        <v>46292</v>
      </c>
      <c r="F25" s="53" t="n">
        <v>1.08</v>
      </c>
      <c r="G25" s="67" t="n">
        <f aca="false">ROUND(Assumptions!$B$25*F25*Scenarios!$F$7,1)</f>
        <v>722.8</v>
      </c>
      <c r="H25" s="68" t="n">
        <f aca="false">D25+4</f>
        <v>46290</v>
      </c>
      <c r="R25" s="58" t="s">
        <v>196</v>
      </c>
    </row>
    <row r="26" customFormat="false" ht="13.5" hidden="false" customHeight="true" outlineLevel="0" collapsed="false">
      <c r="A26" s="49" t="n">
        <v>10</v>
      </c>
      <c r="B26" s="13" t="s">
        <v>208</v>
      </c>
      <c r="C26" s="65"/>
      <c r="D26" s="66" t="n">
        <f aca="false">'Weekly Cash Flow'!K$5</f>
        <v>46293</v>
      </c>
      <c r="E26" s="66" t="n">
        <f aca="false">'Weekly Cash Flow'!K$6</f>
        <v>46299</v>
      </c>
      <c r="F26" s="53" t="n">
        <v>1.05</v>
      </c>
      <c r="G26" s="67" t="n">
        <f aca="false">ROUND(Assumptions!$B$25*F26*Scenarios!$F$7,1)</f>
        <v>702.7</v>
      </c>
      <c r="H26" s="68" t="n">
        <f aca="false">D26+4</f>
        <v>46297</v>
      </c>
      <c r="R26" s="58" t="s">
        <v>196</v>
      </c>
    </row>
    <row r="27" customFormat="false" ht="13.5" hidden="false" customHeight="true" outlineLevel="0" collapsed="false">
      <c r="A27" s="49" t="n">
        <v>11</v>
      </c>
      <c r="B27" s="13" t="s">
        <v>209</v>
      </c>
      <c r="C27" s="65"/>
      <c r="D27" s="66" t="n">
        <f aca="false">'Weekly Cash Flow'!L$5</f>
        <v>46300</v>
      </c>
      <c r="E27" s="66" t="n">
        <f aca="false">'Weekly Cash Flow'!L$6</f>
        <v>46306</v>
      </c>
      <c r="F27" s="53" t="n">
        <v>1.05</v>
      </c>
      <c r="G27" s="67" t="n">
        <f aca="false">ROUND(Assumptions!$B$25*F27*Scenarios!$F$7,1)</f>
        <v>702.7</v>
      </c>
      <c r="H27" s="68" t="n">
        <f aca="false">D27+4</f>
        <v>46304</v>
      </c>
      <c r="R27" s="58" t="s">
        <v>196</v>
      </c>
    </row>
    <row r="28" customFormat="false" ht="13.5" hidden="false" customHeight="true" outlineLevel="0" collapsed="false">
      <c r="A28" s="49" t="n">
        <v>12</v>
      </c>
      <c r="B28" s="13" t="s">
        <v>210</v>
      </c>
      <c r="C28" s="65"/>
      <c r="D28" s="66" t="n">
        <f aca="false">'Weekly Cash Flow'!M$5</f>
        <v>46307</v>
      </c>
      <c r="E28" s="66" t="n">
        <f aca="false">'Weekly Cash Flow'!M$6</f>
        <v>46313</v>
      </c>
      <c r="F28" s="53" t="n">
        <v>1.02</v>
      </c>
      <c r="G28" s="67" t="n">
        <f aca="false">ROUND(Assumptions!$B$25*F28*Scenarios!$F$7,1)</f>
        <v>682.6</v>
      </c>
      <c r="H28" s="68" t="n">
        <f aca="false">D28+4</f>
        <v>46311</v>
      </c>
      <c r="R28" s="58" t="s">
        <v>196</v>
      </c>
    </row>
    <row r="29" customFormat="false" ht="13.5" hidden="false" customHeight="true" outlineLevel="0" collapsed="false">
      <c r="A29" s="49" t="n">
        <v>13</v>
      </c>
      <c r="B29" s="13" t="s">
        <v>211</v>
      </c>
      <c r="C29" s="65"/>
      <c r="D29" s="66" t="n">
        <f aca="false">'Weekly Cash Flow'!N$5</f>
        <v>46314</v>
      </c>
      <c r="E29" s="66" t="n">
        <f aca="false">'Weekly Cash Flow'!N$6</f>
        <v>46320</v>
      </c>
      <c r="F29" s="53" t="n">
        <v>1</v>
      </c>
      <c r="G29" s="67" t="n">
        <f aca="false">ROUND(Assumptions!$B$25*F29*Scenarios!$F$7,1)</f>
        <v>669.2</v>
      </c>
      <c r="H29" s="68" t="n">
        <f aca="false">D29+4</f>
        <v>46318</v>
      </c>
      <c r="R29" s="58" t="s">
        <v>196</v>
      </c>
    </row>
    <row r="30" customFormat="false" ht="19.4" hidden="false" customHeight="false" outlineLevel="0" collapsed="false">
      <c r="B30" s="59" t="s">
        <v>212</v>
      </c>
      <c r="C30" s="60"/>
      <c r="D30" s="60"/>
      <c r="E30" s="60"/>
      <c r="F30" s="69" t="n">
        <f aca="false">SUM(F17:F29)</f>
        <v>11.72</v>
      </c>
      <c r="G30" s="63" t="n">
        <f aca="false">SUM(G17:G29)</f>
        <v>7843.3</v>
      </c>
      <c r="H30" s="60"/>
      <c r="R30" s="64" t="s">
        <v>213</v>
      </c>
    </row>
    <row r="32" customFormat="false" ht="16.5" hidden="false" customHeight="true" outlineLevel="0" collapsed="false">
      <c r="A32" s="10" t="s">
        <v>214</v>
      </c>
      <c r="B32" s="10"/>
      <c r="C32" s="10"/>
      <c r="D32" s="10"/>
      <c r="E32" s="10"/>
      <c r="F32" s="10"/>
      <c r="G32" s="10"/>
      <c r="H32" s="10"/>
      <c r="I32" s="10"/>
      <c r="J32" s="10"/>
      <c r="K32" s="10"/>
      <c r="L32" s="10"/>
      <c r="M32" s="10"/>
      <c r="N32" s="10"/>
      <c r="O32" s="10"/>
      <c r="P32" s="10"/>
      <c r="Q32" s="10"/>
      <c r="R32" s="10"/>
    </row>
    <row r="33" customFormat="false" ht="27.75" hidden="false" customHeight="true" outlineLevel="0" collapsed="false">
      <c r="B33" s="12" t="s">
        <v>155</v>
      </c>
      <c r="C33" s="12" t="s">
        <v>156</v>
      </c>
      <c r="D33" s="12" t="s">
        <v>157</v>
      </c>
      <c r="E33" s="12" t="s">
        <v>215</v>
      </c>
      <c r="F33" s="12" t="s">
        <v>193</v>
      </c>
      <c r="G33" s="12" t="s">
        <v>216</v>
      </c>
      <c r="H33" s="12" t="s">
        <v>217</v>
      </c>
      <c r="I33" s="12" t="s">
        <v>218</v>
      </c>
      <c r="J33" s="12" t="s">
        <v>219</v>
      </c>
      <c r="K33" s="12" t="s">
        <v>70</v>
      </c>
      <c r="L33" s="12" t="s">
        <v>220</v>
      </c>
      <c r="M33" s="12" t="s">
        <v>221</v>
      </c>
      <c r="N33" s="12" t="s">
        <v>222</v>
      </c>
      <c r="O33" s="12" t="s">
        <v>223</v>
      </c>
      <c r="P33" s="12" t="s">
        <v>224</v>
      </c>
      <c r="Q33" s="12" t="s">
        <v>225</v>
      </c>
      <c r="R33" s="12" t="s">
        <v>194</v>
      </c>
    </row>
    <row r="34" customFormat="false" ht="12.75" hidden="false" customHeight="true" outlineLevel="0" collapsed="false">
      <c r="A34" s="49"/>
      <c r="B34" s="70" t="s">
        <v>166</v>
      </c>
      <c r="C34" s="71" t="s">
        <v>167</v>
      </c>
      <c r="D34" s="72" t="s">
        <v>111</v>
      </c>
      <c r="E34" s="49" t="s">
        <v>226</v>
      </c>
      <c r="F34" s="73" t="n">
        <v>46136</v>
      </c>
      <c r="G34" s="74" t="n">
        <f aca="false">ROUND(Assumptions!$B$25*1*$F$6,1)</f>
        <v>227.5</v>
      </c>
      <c r="H34" s="75" t="n">
        <v>90</v>
      </c>
      <c r="I34" s="68" t="n">
        <f aca="false">F34+H34</f>
        <v>46226</v>
      </c>
      <c r="J34" s="75" t="n">
        <v>4</v>
      </c>
      <c r="K34" s="34" t="s">
        <v>227</v>
      </c>
      <c r="L34" s="73"/>
      <c r="M34" s="76" t="s">
        <v>228</v>
      </c>
      <c r="N34" s="77" t="n">
        <f aca="false">IF(AND($M34="Y",Assumptions!$B$10=1),Assumptions!$B$53,IF($L34&gt;0,$L34+Scenarios!$F$9,$I34+$J34+IF($I34&gt;Assumptions!$B$5,Scenarios!$F$8,0)))</f>
        <v>46230</v>
      </c>
      <c r="O34" s="67" t="n">
        <f aca="false">IF(AND($M34="Y",Assumptions!$B$10=1),$G34*(1-Assumptions!$B$52),$G34)</f>
        <v>227.5</v>
      </c>
      <c r="P34" s="72" t="str">
        <f aca="false">IF(AND($M34="Y",Assumptions!$B$10=1),"Invoice factoring - advance received",$D34)</f>
        <v>Collections - automotive Tier-1 OEM</v>
      </c>
      <c r="Q34" s="34" t="str">
        <f aca="false">IF(AND($M34="Y",Assumptions!$B$10=1),"Fixed",IF($L34&gt;0,"Fixed",IF($I34&gt;Assumptions!$B$5,"Trade","Fixed")))</f>
        <v>Fixed</v>
      </c>
      <c r="R34" s="78" t="s">
        <v>229</v>
      </c>
    </row>
    <row r="35" customFormat="false" ht="12.75" hidden="false" customHeight="true" outlineLevel="0" collapsed="false">
      <c r="A35" s="49"/>
      <c r="B35" s="70" t="s">
        <v>166</v>
      </c>
      <c r="C35" s="71" t="s">
        <v>167</v>
      </c>
      <c r="D35" s="72" t="s">
        <v>111</v>
      </c>
      <c r="E35" s="49" t="s">
        <v>230</v>
      </c>
      <c r="F35" s="73" t="n">
        <v>46143</v>
      </c>
      <c r="G35" s="74" t="n">
        <f aca="false">ROUND(Assumptions!$B$25*1.03*$F$6,1)</f>
        <v>234.4</v>
      </c>
      <c r="H35" s="75" t="n">
        <v>90</v>
      </c>
      <c r="I35" s="68" t="n">
        <f aca="false">F35+H35</f>
        <v>46233</v>
      </c>
      <c r="J35" s="75" t="n">
        <v>4</v>
      </c>
      <c r="K35" s="34" t="s">
        <v>227</v>
      </c>
      <c r="L35" s="73"/>
      <c r="M35" s="76" t="s">
        <v>228</v>
      </c>
      <c r="N35" s="77" t="n">
        <f aca="false">IF(AND($M35="Y",Assumptions!$B$10=1),Assumptions!$B$53,IF($L35&gt;0,$L35+Scenarios!$F$9,$I35+$J35+IF($I35&gt;Assumptions!$B$5,Scenarios!$F$8,0)))</f>
        <v>46237</v>
      </c>
      <c r="O35" s="67" t="n">
        <f aca="false">IF(AND($M35="Y",Assumptions!$B$10=1),$G35*(1-Assumptions!$B$52),$G35)</f>
        <v>234.4</v>
      </c>
      <c r="P35" s="72" t="str">
        <f aca="false">IF(AND($M35="Y",Assumptions!$B$10=1),"Invoice factoring - advance received",$D35)</f>
        <v>Collections - automotive Tier-1 OEM</v>
      </c>
      <c r="Q35" s="34" t="str">
        <f aca="false">IF(AND($M35="Y",Assumptions!$B$10=1),"Fixed",IF($L35&gt;0,"Fixed",IF($I35&gt;Assumptions!$B$5,"Trade","Fixed")))</f>
        <v>Trade</v>
      </c>
      <c r="R35" s="78" t="s">
        <v>231</v>
      </c>
    </row>
    <row r="36" customFormat="false" ht="12.75" hidden="false" customHeight="true" outlineLevel="0" collapsed="false">
      <c r="A36" s="49"/>
      <c r="B36" s="70" t="s">
        <v>166</v>
      </c>
      <c r="C36" s="71" t="s">
        <v>167</v>
      </c>
      <c r="D36" s="72" t="s">
        <v>111</v>
      </c>
      <c r="E36" s="49" t="s">
        <v>232</v>
      </c>
      <c r="F36" s="73" t="n">
        <v>46150</v>
      </c>
      <c r="G36" s="74" t="n">
        <f aca="false">ROUND(Assumptions!$B$25*0.97*$F$6,1)</f>
        <v>220.7</v>
      </c>
      <c r="H36" s="75" t="n">
        <v>90</v>
      </c>
      <c r="I36" s="68" t="n">
        <f aca="false">F36+H36</f>
        <v>46240</v>
      </c>
      <c r="J36" s="75" t="n">
        <v>4</v>
      </c>
      <c r="K36" s="34" t="s">
        <v>227</v>
      </c>
      <c r="L36" s="73"/>
      <c r="M36" s="76" t="s">
        <v>228</v>
      </c>
      <c r="N36" s="77" t="n">
        <f aca="false">IF(AND($M36="Y",Assumptions!$B$10=1),Assumptions!$B$53,IF($L36&gt;0,$L36+Scenarios!$F$9,$I36+$J36+IF($I36&gt;Assumptions!$B$5,Scenarios!$F$8,0)))</f>
        <v>46244</v>
      </c>
      <c r="O36" s="67" t="n">
        <f aca="false">IF(AND($M36="Y",Assumptions!$B$10=1),$G36*(1-Assumptions!$B$52),$G36)</f>
        <v>220.7</v>
      </c>
      <c r="P36" s="72" t="str">
        <f aca="false">IF(AND($M36="Y",Assumptions!$B$10=1),"Invoice factoring - advance received",$D36)</f>
        <v>Collections - automotive Tier-1 OEM</v>
      </c>
      <c r="Q36" s="34" t="str">
        <f aca="false">IF(AND($M36="Y",Assumptions!$B$10=1),"Fixed",IF($L36&gt;0,"Fixed",IF($I36&gt;Assumptions!$B$5,"Trade","Fixed")))</f>
        <v>Trade</v>
      </c>
      <c r="R36" s="78" t="s">
        <v>233</v>
      </c>
    </row>
    <row r="37" customFormat="false" ht="12.75" hidden="false" customHeight="true" outlineLevel="0" collapsed="false">
      <c r="A37" s="49"/>
      <c r="B37" s="70" t="s">
        <v>166</v>
      </c>
      <c r="C37" s="71" t="s">
        <v>167</v>
      </c>
      <c r="D37" s="72" t="s">
        <v>111</v>
      </c>
      <c r="E37" s="49" t="s">
        <v>234</v>
      </c>
      <c r="F37" s="73" t="n">
        <v>46157</v>
      </c>
      <c r="G37" s="74" t="n">
        <f aca="false">ROUND(Assumptions!$B$25*1.05*$F$6,1)</f>
        <v>238.9</v>
      </c>
      <c r="H37" s="75" t="n">
        <v>90</v>
      </c>
      <c r="I37" s="68" t="n">
        <f aca="false">F37+H37</f>
        <v>46247</v>
      </c>
      <c r="J37" s="75" t="n">
        <v>4</v>
      </c>
      <c r="K37" s="34" t="s">
        <v>227</v>
      </c>
      <c r="L37" s="73"/>
      <c r="M37" s="76" t="s">
        <v>228</v>
      </c>
      <c r="N37" s="77" t="n">
        <f aca="false">IF(AND($M37="Y",Assumptions!$B$10=1),Assumptions!$B$53,IF($L37&gt;0,$L37+Scenarios!$F$9,$I37+$J37+IF($I37&gt;Assumptions!$B$5,Scenarios!$F$8,0)))</f>
        <v>46251</v>
      </c>
      <c r="O37" s="67" t="n">
        <f aca="false">IF(AND($M37="Y",Assumptions!$B$10=1),$G37*(1-Assumptions!$B$52),$G37)</f>
        <v>238.9</v>
      </c>
      <c r="P37" s="72" t="str">
        <f aca="false">IF(AND($M37="Y",Assumptions!$B$10=1),"Invoice factoring - advance received",$D37)</f>
        <v>Collections - automotive Tier-1 OEM</v>
      </c>
      <c r="Q37" s="34" t="str">
        <f aca="false">IF(AND($M37="Y",Assumptions!$B$10=1),"Fixed",IF($L37&gt;0,"Fixed",IF($I37&gt;Assumptions!$B$5,"Trade","Fixed")))</f>
        <v>Trade</v>
      </c>
      <c r="R37" s="78" t="s">
        <v>235</v>
      </c>
    </row>
    <row r="38" customFormat="false" ht="12.75" hidden="false" customHeight="true" outlineLevel="0" collapsed="false">
      <c r="A38" s="49"/>
      <c r="B38" s="70" t="s">
        <v>166</v>
      </c>
      <c r="C38" s="71" t="s">
        <v>167</v>
      </c>
      <c r="D38" s="72" t="s">
        <v>111</v>
      </c>
      <c r="E38" s="49" t="s">
        <v>236</v>
      </c>
      <c r="F38" s="73" t="n">
        <v>46164</v>
      </c>
      <c r="G38" s="74" t="n">
        <f aca="false">ROUND(Assumptions!$B$25*0.99*$F$6,1)</f>
        <v>225.3</v>
      </c>
      <c r="H38" s="75" t="n">
        <v>90</v>
      </c>
      <c r="I38" s="68" t="n">
        <f aca="false">F38+H38</f>
        <v>46254</v>
      </c>
      <c r="J38" s="75" t="n">
        <v>4</v>
      </c>
      <c r="K38" s="34" t="s">
        <v>227</v>
      </c>
      <c r="L38" s="73"/>
      <c r="M38" s="76" t="s">
        <v>228</v>
      </c>
      <c r="N38" s="77" t="n">
        <f aca="false">IF(AND($M38="Y",Assumptions!$B$10=1),Assumptions!$B$53,IF($L38&gt;0,$L38+Scenarios!$F$9,$I38+$J38+IF($I38&gt;Assumptions!$B$5,Scenarios!$F$8,0)))</f>
        <v>46258</v>
      </c>
      <c r="O38" s="67" t="n">
        <f aca="false">IF(AND($M38="Y",Assumptions!$B$10=1),$G38*(1-Assumptions!$B$52),$G38)</f>
        <v>225.3</v>
      </c>
      <c r="P38" s="72" t="str">
        <f aca="false">IF(AND($M38="Y",Assumptions!$B$10=1),"Invoice factoring - advance received",$D38)</f>
        <v>Collections - automotive Tier-1 OEM</v>
      </c>
      <c r="Q38" s="34" t="str">
        <f aca="false">IF(AND($M38="Y",Assumptions!$B$10=1),"Fixed",IF($L38&gt;0,"Fixed",IF($I38&gt;Assumptions!$B$5,"Trade","Fixed")))</f>
        <v>Trade</v>
      </c>
      <c r="R38" s="78" t="s">
        <v>237</v>
      </c>
    </row>
    <row r="39" customFormat="false" ht="12.75" hidden="false" customHeight="true" outlineLevel="0" collapsed="false">
      <c r="A39" s="49"/>
      <c r="B39" s="70" t="s">
        <v>166</v>
      </c>
      <c r="C39" s="71" t="s">
        <v>167</v>
      </c>
      <c r="D39" s="72" t="s">
        <v>111</v>
      </c>
      <c r="E39" s="49" t="s">
        <v>238</v>
      </c>
      <c r="F39" s="73" t="n">
        <v>46171</v>
      </c>
      <c r="G39" s="74" t="n">
        <f aca="false">ROUND(Assumptions!$B$25*1.02*$F$6,1)</f>
        <v>232.1</v>
      </c>
      <c r="H39" s="75" t="n">
        <v>90</v>
      </c>
      <c r="I39" s="68" t="n">
        <f aca="false">F39+H39</f>
        <v>46261</v>
      </c>
      <c r="J39" s="75" t="n">
        <v>4</v>
      </c>
      <c r="K39" s="34" t="s">
        <v>227</v>
      </c>
      <c r="L39" s="73"/>
      <c r="M39" s="76" t="s">
        <v>228</v>
      </c>
      <c r="N39" s="77" t="n">
        <f aca="false">IF(AND($M39="Y",Assumptions!$B$10=1),Assumptions!$B$53,IF($L39&gt;0,$L39+Scenarios!$F$9,$I39+$J39+IF($I39&gt;Assumptions!$B$5,Scenarios!$F$8,0)))</f>
        <v>46265</v>
      </c>
      <c r="O39" s="67" t="n">
        <f aca="false">IF(AND($M39="Y",Assumptions!$B$10=1),$G39*(1-Assumptions!$B$52),$G39)</f>
        <v>232.1</v>
      </c>
      <c r="P39" s="72" t="str">
        <f aca="false">IF(AND($M39="Y",Assumptions!$B$10=1),"Invoice factoring - advance received",$D39)</f>
        <v>Collections - automotive Tier-1 OEM</v>
      </c>
      <c r="Q39" s="34" t="str">
        <f aca="false">IF(AND($M39="Y",Assumptions!$B$10=1),"Fixed",IF($L39&gt;0,"Fixed",IF($I39&gt;Assumptions!$B$5,"Trade","Fixed")))</f>
        <v>Trade</v>
      </c>
      <c r="R39" s="78" t="s">
        <v>239</v>
      </c>
    </row>
    <row r="40" customFormat="false" ht="12.75" hidden="false" customHeight="true" outlineLevel="0" collapsed="false">
      <c r="A40" s="49"/>
      <c r="B40" s="70" t="s">
        <v>166</v>
      </c>
      <c r="C40" s="71" t="s">
        <v>167</v>
      </c>
      <c r="D40" s="72" t="s">
        <v>111</v>
      </c>
      <c r="E40" s="49" t="s">
        <v>240</v>
      </c>
      <c r="F40" s="73" t="n">
        <v>46178</v>
      </c>
      <c r="G40" s="74" t="n">
        <f aca="false">ROUND(Assumptions!$B$25*0.96*$F$6,1)</f>
        <v>218.4</v>
      </c>
      <c r="H40" s="75" t="n">
        <v>90</v>
      </c>
      <c r="I40" s="68" t="n">
        <f aca="false">F40+H40</f>
        <v>46268</v>
      </c>
      <c r="J40" s="75" t="n">
        <v>4</v>
      </c>
      <c r="K40" s="34" t="s">
        <v>227</v>
      </c>
      <c r="L40" s="73"/>
      <c r="M40" s="76" t="s">
        <v>228</v>
      </c>
      <c r="N40" s="77" t="n">
        <f aca="false">IF(AND($M40="Y",Assumptions!$B$10=1),Assumptions!$B$53,IF($L40&gt;0,$L40+Scenarios!$F$9,$I40+$J40+IF($I40&gt;Assumptions!$B$5,Scenarios!$F$8,0)))</f>
        <v>46272</v>
      </c>
      <c r="O40" s="67" t="n">
        <f aca="false">IF(AND($M40="Y",Assumptions!$B$10=1),$G40*(1-Assumptions!$B$52),$G40)</f>
        <v>218.4</v>
      </c>
      <c r="P40" s="72" t="str">
        <f aca="false">IF(AND($M40="Y",Assumptions!$B$10=1),"Invoice factoring - advance received",$D40)</f>
        <v>Collections - automotive Tier-1 OEM</v>
      </c>
      <c r="Q40" s="34" t="str">
        <f aca="false">IF(AND($M40="Y",Assumptions!$B$10=1),"Fixed",IF($L40&gt;0,"Fixed",IF($I40&gt;Assumptions!$B$5,"Trade","Fixed")))</f>
        <v>Trade</v>
      </c>
      <c r="R40" s="78" t="s">
        <v>241</v>
      </c>
    </row>
    <row r="41" customFormat="false" ht="12.75" hidden="false" customHeight="true" outlineLevel="0" collapsed="false">
      <c r="A41" s="49"/>
      <c r="B41" s="70" t="s">
        <v>166</v>
      </c>
      <c r="C41" s="71" t="s">
        <v>167</v>
      </c>
      <c r="D41" s="72" t="s">
        <v>111</v>
      </c>
      <c r="E41" s="49" t="s">
        <v>242</v>
      </c>
      <c r="F41" s="73" t="n">
        <v>46185</v>
      </c>
      <c r="G41" s="74" t="n">
        <f aca="false">ROUND(Assumptions!$B$25*1.04*$F$6,1)</f>
        <v>236.6</v>
      </c>
      <c r="H41" s="75" t="n">
        <v>90</v>
      </c>
      <c r="I41" s="68" t="n">
        <f aca="false">F41+H41</f>
        <v>46275</v>
      </c>
      <c r="J41" s="75" t="n">
        <v>4</v>
      </c>
      <c r="K41" s="79" t="s">
        <v>243</v>
      </c>
      <c r="L41" s="73" t="n">
        <v>46311</v>
      </c>
      <c r="M41" s="76" t="s">
        <v>228</v>
      </c>
      <c r="N41" s="77" t="n">
        <f aca="false">IF(AND($M41="Y",Assumptions!$B$10=1),Assumptions!$B$53,IF($L41&gt;0,$L41+Scenarios!$F$9,$I41+$J41+IF($I41&gt;Assumptions!$B$5,Scenarios!$F$8,0)))</f>
        <v>46311</v>
      </c>
      <c r="O41" s="67" t="n">
        <f aca="false">IF(AND($M41="Y",Assumptions!$B$10=1),$G41*(1-Assumptions!$B$52),$G41)</f>
        <v>236.6</v>
      </c>
      <c r="P41" s="72" t="str">
        <f aca="false">IF(AND($M41="Y",Assumptions!$B$10=1),"Invoice factoring - advance received",$D41)</f>
        <v>Collections - automotive Tier-1 OEM</v>
      </c>
      <c r="Q41" s="34" t="str">
        <f aca="false">IF(AND($M41="Y",Assumptions!$B$10=1),"Fixed",IF($L41&gt;0,"Fixed",IF($I41&gt;Assumptions!$B$5,"Trade","Fixed")))</f>
        <v>Fixed</v>
      </c>
      <c r="R41" s="78" t="s">
        <v>244</v>
      </c>
    </row>
    <row r="42" customFormat="false" ht="12.75" hidden="false" customHeight="true" outlineLevel="0" collapsed="false">
      <c r="A42" s="49"/>
      <c r="B42" s="70" t="s">
        <v>166</v>
      </c>
      <c r="C42" s="71" t="s">
        <v>167</v>
      </c>
      <c r="D42" s="72" t="s">
        <v>111</v>
      </c>
      <c r="E42" s="49" t="s">
        <v>245</v>
      </c>
      <c r="F42" s="73" t="n">
        <v>46192</v>
      </c>
      <c r="G42" s="74" t="n">
        <f aca="false">ROUND(Assumptions!$B$25*1.01*$F$6,1)</f>
        <v>229.8</v>
      </c>
      <c r="H42" s="75" t="n">
        <v>90</v>
      </c>
      <c r="I42" s="68" t="n">
        <f aca="false">F42+H42</f>
        <v>46282</v>
      </c>
      <c r="J42" s="75" t="n">
        <v>4</v>
      </c>
      <c r="K42" s="79" t="s">
        <v>243</v>
      </c>
      <c r="L42" s="73" t="n">
        <v>46311</v>
      </c>
      <c r="M42" s="76" t="s">
        <v>228</v>
      </c>
      <c r="N42" s="77" t="n">
        <f aca="false">IF(AND($M42="Y",Assumptions!$B$10=1),Assumptions!$B$53,IF($L42&gt;0,$L42+Scenarios!$F$9,$I42+$J42+IF($I42&gt;Assumptions!$B$5,Scenarios!$F$8,0)))</f>
        <v>46311</v>
      </c>
      <c r="O42" s="67" t="n">
        <f aca="false">IF(AND($M42="Y",Assumptions!$B$10=1),$G42*(1-Assumptions!$B$52),$G42)</f>
        <v>229.8</v>
      </c>
      <c r="P42" s="72" t="str">
        <f aca="false">IF(AND($M42="Y",Assumptions!$B$10=1),"Invoice factoring - advance received",$D42)</f>
        <v>Collections - automotive Tier-1 OEM</v>
      </c>
      <c r="Q42" s="34" t="str">
        <f aca="false">IF(AND($M42="Y",Assumptions!$B$10=1),"Fixed",IF($L42&gt;0,"Fixed",IF($I42&gt;Assumptions!$B$5,"Trade","Fixed")))</f>
        <v>Fixed</v>
      </c>
      <c r="R42" s="78" t="s">
        <v>244</v>
      </c>
    </row>
    <row r="43" customFormat="false" ht="12.75" hidden="false" customHeight="true" outlineLevel="0" collapsed="false">
      <c r="A43" s="49"/>
      <c r="B43" s="70" t="s">
        <v>166</v>
      </c>
      <c r="C43" s="71" t="s">
        <v>167</v>
      </c>
      <c r="D43" s="72" t="s">
        <v>111</v>
      </c>
      <c r="E43" s="49" t="s">
        <v>246</v>
      </c>
      <c r="F43" s="73" t="n">
        <v>46199</v>
      </c>
      <c r="G43" s="74" t="n">
        <f aca="false">ROUND(Assumptions!$B$25*0.98*$F$6,1)</f>
        <v>223</v>
      </c>
      <c r="H43" s="75" t="n">
        <v>90</v>
      </c>
      <c r="I43" s="68" t="n">
        <f aca="false">F43+H43</f>
        <v>46289</v>
      </c>
      <c r="J43" s="75" t="n">
        <v>4</v>
      </c>
      <c r="K43" s="79" t="s">
        <v>243</v>
      </c>
      <c r="L43" s="73" t="n">
        <v>46311</v>
      </c>
      <c r="M43" s="76" t="s">
        <v>228</v>
      </c>
      <c r="N43" s="77" t="n">
        <f aca="false">IF(AND($M43="Y",Assumptions!$B$10=1),Assumptions!$B$53,IF($L43&gt;0,$L43+Scenarios!$F$9,$I43+$J43+IF($I43&gt;Assumptions!$B$5,Scenarios!$F$8,0)))</f>
        <v>46311</v>
      </c>
      <c r="O43" s="67" t="n">
        <f aca="false">IF(AND($M43="Y",Assumptions!$B$10=1),$G43*(1-Assumptions!$B$52),$G43)</f>
        <v>223</v>
      </c>
      <c r="P43" s="72" t="str">
        <f aca="false">IF(AND($M43="Y",Assumptions!$B$10=1),"Invoice factoring - advance received",$D43)</f>
        <v>Collections - automotive Tier-1 OEM</v>
      </c>
      <c r="Q43" s="34" t="str">
        <f aca="false">IF(AND($M43="Y",Assumptions!$B$10=1),"Fixed",IF($L43&gt;0,"Fixed",IF($I43&gt;Assumptions!$B$5,"Trade","Fixed")))</f>
        <v>Fixed</v>
      </c>
      <c r="R43" s="78" t="s">
        <v>244</v>
      </c>
    </row>
    <row r="44" customFormat="false" ht="12.75" hidden="false" customHeight="true" outlineLevel="0" collapsed="false">
      <c r="A44" s="49"/>
      <c r="B44" s="70" t="s">
        <v>166</v>
      </c>
      <c r="C44" s="71" t="s">
        <v>167</v>
      </c>
      <c r="D44" s="72" t="s">
        <v>111</v>
      </c>
      <c r="E44" s="49" t="s">
        <v>247</v>
      </c>
      <c r="F44" s="73" t="n">
        <v>46206</v>
      </c>
      <c r="G44" s="74" t="n">
        <f aca="false">ROUND(Assumptions!$B$25*1.03*$F$6,1)</f>
        <v>234.4</v>
      </c>
      <c r="H44" s="75" t="n">
        <v>90</v>
      </c>
      <c r="I44" s="68" t="n">
        <f aca="false">F44+H44</f>
        <v>46296</v>
      </c>
      <c r="J44" s="75" t="n">
        <v>4</v>
      </c>
      <c r="K44" s="34" t="s">
        <v>227</v>
      </c>
      <c r="L44" s="73"/>
      <c r="M44" s="76" t="s">
        <v>228</v>
      </c>
      <c r="N44" s="77" t="n">
        <f aca="false">IF(AND($M44="Y",Assumptions!$B$10=1),Assumptions!$B$53,IF($L44&gt;0,$L44+Scenarios!$F$9,$I44+$J44+IF($I44&gt;Assumptions!$B$5,Scenarios!$F$8,0)))</f>
        <v>46300</v>
      </c>
      <c r="O44" s="67" t="n">
        <f aca="false">IF(AND($M44="Y",Assumptions!$B$10=1),$G44*(1-Assumptions!$B$52),$G44)</f>
        <v>234.4</v>
      </c>
      <c r="P44" s="72" t="str">
        <f aca="false">IF(AND($M44="Y",Assumptions!$B$10=1),"Invoice factoring - advance received",$D44)</f>
        <v>Collections - automotive Tier-1 OEM</v>
      </c>
      <c r="Q44" s="34" t="str">
        <f aca="false">IF(AND($M44="Y",Assumptions!$B$10=1),"Fixed",IF($L44&gt;0,"Fixed",IF($I44&gt;Assumptions!$B$5,"Trade","Fixed")))</f>
        <v>Trade</v>
      </c>
      <c r="R44" s="78" t="s">
        <v>231</v>
      </c>
    </row>
    <row r="45" customFormat="false" ht="12.75" hidden="false" customHeight="true" outlineLevel="0" collapsed="false">
      <c r="A45" s="49"/>
      <c r="B45" s="70" t="s">
        <v>166</v>
      </c>
      <c r="C45" s="71" t="s">
        <v>167</v>
      </c>
      <c r="D45" s="72" t="s">
        <v>111</v>
      </c>
      <c r="E45" s="49" t="s">
        <v>248</v>
      </c>
      <c r="F45" s="73" t="n">
        <v>46213</v>
      </c>
      <c r="G45" s="74" t="n">
        <f aca="false">ROUND(Assumptions!$B$25*1*$F$6,1)</f>
        <v>227.5</v>
      </c>
      <c r="H45" s="75" t="n">
        <v>90</v>
      </c>
      <c r="I45" s="68" t="n">
        <f aca="false">F45+H45</f>
        <v>46303</v>
      </c>
      <c r="J45" s="75" t="n">
        <v>4</v>
      </c>
      <c r="K45" s="34" t="s">
        <v>227</v>
      </c>
      <c r="L45" s="73"/>
      <c r="M45" s="76" t="s">
        <v>228</v>
      </c>
      <c r="N45" s="77" t="n">
        <f aca="false">IF(AND($M45="Y",Assumptions!$B$10=1),Assumptions!$B$53,IF($L45&gt;0,$L45+Scenarios!$F$9,$I45+$J45+IF($I45&gt;Assumptions!$B$5,Scenarios!$F$8,0)))</f>
        <v>46307</v>
      </c>
      <c r="O45" s="67" t="n">
        <f aca="false">IF(AND($M45="Y",Assumptions!$B$10=1),$G45*(1-Assumptions!$B$52),$G45)</f>
        <v>227.5</v>
      </c>
      <c r="P45" s="72" t="str">
        <f aca="false">IF(AND($M45="Y",Assumptions!$B$10=1),"Invoice factoring - advance received",$D45)</f>
        <v>Collections - automotive Tier-1 OEM</v>
      </c>
      <c r="Q45" s="34" t="str">
        <f aca="false">IF(AND($M45="Y",Assumptions!$B$10=1),"Fixed",IF($L45&gt;0,"Fixed",IF($I45&gt;Assumptions!$B$5,"Trade","Fixed")))</f>
        <v>Trade</v>
      </c>
      <c r="R45" s="78" t="s">
        <v>229</v>
      </c>
    </row>
    <row r="46" customFormat="false" ht="12.75" hidden="false" customHeight="true" outlineLevel="0" collapsed="false">
      <c r="A46" s="49"/>
      <c r="B46" s="70" t="s">
        <v>166</v>
      </c>
      <c r="C46" s="71" t="s">
        <v>167</v>
      </c>
      <c r="D46" s="72" t="s">
        <v>111</v>
      </c>
      <c r="E46" s="49" t="s">
        <v>249</v>
      </c>
      <c r="F46" s="73" t="n">
        <v>46220</v>
      </c>
      <c r="G46" s="74" t="n">
        <f aca="false">ROUND(Assumptions!$B$25*0.99*$F$6,1)</f>
        <v>225.3</v>
      </c>
      <c r="H46" s="75" t="n">
        <v>90</v>
      </c>
      <c r="I46" s="68" t="n">
        <f aca="false">F46+H46</f>
        <v>46310</v>
      </c>
      <c r="J46" s="75" t="n">
        <v>4</v>
      </c>
      <c r="K46" s="34" t="s">
        <v>227</v>
      </c>
      <c r="L46" s="73"/>
      <c r="M46" s="76" t="s">
        <v>228</v>
      </c>
      <c r="N46" s="77" t="n">
        <f aca="false">IF(AND($M46="Y",Assumptions!$B$10=1),Assumptions!$B$53,IF($L46&gt;0,$L46+Scenarios!$F$9,$I46+$J46+IF($I46&gt;Assumptions!$B$5,Scenarios!$F$8,0)))</f>
        <v>46314</v>
      </c>
      <c r="O46" s="67" t="n">
        <f aca="false">IF(AND($M46="Y",Assumptions!$B$10=1),$G46*(1-Assumptions!$B$52),$G46)</f>
        <v>225.3</v>
      </c>
      <c r="P46" s="72" t="str">
        <f aca="false">IF(AND($M46="Y",Assumptions!$B$10=1),"Invoice factoring - advance received",$D46)</f>
        <v>Collections - automotive Tier-1 OEM</v>
      </c>
      <c r="Q46" s="34" t="str">
        <f aca="false">IF(AND($M46="Y",Assumptions!$B$10=1),"Fixed",IF($L46&gt;0,"Fixed",IF($I46&gt;Assumptions!$B$5,"Trade","Fixed")))</f>
        <v>Trade</v>
      </c>
      <c r="R46" s="78" t="s">
        <v>237</v>
      </c>
    </row>
    <row r="47" customFormat="false" ht="12.75" hidden="false" customHeight="true" outlineLevel="0" collapsed="false">
      <c r="A47" s="49"/>
      <c r="B47" s="70" t="s">
        <v>166</v>
      </c>
      <c r="C47" s="71" t="s">
        <v>167</v>
      </c>
      <c r="D47" s="72" t="s">
        <v>111</v>
      </c>
      <c r="E47" s="49" t="s">
        <v>250</v>
      </c>
      <c r="F47" s="73" t="n">
        <v>46227</v>
      </c>
      <c r="G47" s="74" t="n">
        <f aca="false">ROUND(Assumptions!$B$25*1.02*$F$6,1)</f>
        <v>232.1</v>
      </c>
      <c r="H47" s="75" t="n">
        <v>90</v>
      </c>
      <c r="I47" s="68" t="n">
        <f aca="false">F47+H47</f>
        <v>46317</v>
      </c>
      <c r="J47" s="75" t="n">
        <v>4</v>
      </c>
      <c r="K47" s="34" t="s">
        <v>227</v>
      </c>
      <c r="L47" s="73"/>
      <c r="M47" s="76" t="s">
        <v>228</v>
      </c>
      <c r="N47" s="77" t="n">
        <f aca="false">IF(AND($M47="Y",Assumptions!$B$10=1),Assumptions!$B$53,IF($L47&gt;0,$L47+Scenarios!$F$9,$I47+$J47+IF($I47&gt;Assumptions!$B$5,Scenarios!$F$8,0)))</f>
        <v>46321</v>
      </c>
      <c r="O47" s="67" t="n">
        <f aca="false">IF(AND($M47="Y",Assumptions!$B$10=1),$G47*(1-Assumptions!$B$52),$G47)</f>
        <v>232.1</v>
      </c>
      <c r="P47" s="72" t="str">
        <f aca="false">IF(AND($M47="Y",Assumptions!$B$10=1),"Invoice factoring - advance received",$D47)</f>
        <v>Collections - automotive Tier-1 OEM</v>
      </c>
      <c r="Q47" s="34" t="str">
        <f aca="false">IF(AND($M47="Y",Assumptions!$B$10=1),"Fixed",IF($L47&gt;0,"Fixed",IF($I47&gt;Assumptions!$B$5,"Trade","Fixed")))</f>
        <v>Trade</v>
      </c>
      <c r="R47" s="78" t="s">
        <v>239</v>
      </c>
    </row>
    <row r="48" customFormat="false" ht="12.75" hidden="false" customHeight="true" outlineLevel="0" collapsed="false">
      <c r="A48" s="49"/>
      <c r="B48" s="70" t="s">
        <v>170</v>
      </c>
      <c r="C48" s="71" t="s">
        <v>167</v>
      </c>
      <c r="D48" s="72" t="s">
        <v>111</v>
      </c>
      <c r="E48" s="49" t="s">
        <v>251</v>
      </c>
      <c r="F48" s="73" t="n">
        <v>46157</v>
      </c>
      <c r="G48" s="74" t="n">
        <f aca="false">ROUND(Assumptions!$B$25*1*$F$7,1)</f>
        <v>140.5</v>
      </c>
      <c r="H48" s="75" t="n">
        <v>75</v>
      </c>
      <c r="I48" s="68" t="n">
        <f aca="false">F48+H48</f>
        <v>46232</v>
      </c>
      <c r="J48" s="75" t="n">
        <v>2</v>
      </c>
      <c r="K48" s="34" t="s">
        <v>227</v>
      </c>
      <c r="L48" s="73"/>
      <c r="M48" s="76" t="s">
        <v>228</v>
      </c>
      <c r="N48" s="77" t="n">
        <f aca="false">IF(AND($M48="Y",Assumptions!$B$10=1),Assumptions!$B$53,IF($L48&gt;0,$L48+Scenarios!$F$9,$I48+$J48+IF($I48&gt;Assumptions!$B$5,Scenarios!$F$8,0)))</f>
        <v>46234</v>
      </c>
      <c r="O48" s="67" t="n">
        <f aca="false">IF(AND($M48="Y",Assumptions!$B$10=1),$G48*(1-Assumptions!$B$52),$G48)</f>
        <v>140.5</v>
      </c>
      <c r="P48" s="72" t="str">
        <f aca="false">IF(AND($M48="Y",Assumptions!$B$10=1),"Invoice factoring - advance received",$D48)</f>
        <v>Collections - automotive Tier-1 OEM</v>
      </c>
      <c r="Q48" s="34" t="str">
        <f aca="false">IF(AND($M48="Y",Assumptions!$B$10=1),"Fixed",IF($L48&gt;0,"Fixed",IF($I48&gt;Assumptions!$B$5,"Trade","Fixed")))</f>
        <v>Trade</v>
      </c>
      <c r="R48" s="78" t="s">
        <v>229</v>
      </c>
    </row>
    <row r="49" customFormat="false" ht="12.75" hidden="false" customHeight="true" outlineLevel="0" collapsed="false">
      <c r="A49" s="49"/>
      <c r="B49" s="70" t="s">
        <v>170</v>
      </c>
      <c r="C49" s="71" t="s">
        <v>167</v>
      </c>
      <c r="D49" s="72" t="s">
        <v>111</v>
      </c>
      <c r="E49" s="49" t="s">
        <v>252</v>
      </c>
      <c r="F49" s="73" t="n">
        <v>46164</v>
      </c>
      <c r="G49" s="74" t="n">
        <f aca="false">ROUND(Assumptions!$B$25*1.03*$F$7,1)</f>
        <v>144.8</v>
      </c>
      <c r="H49" s="75" t="n">
        <v>75</v>
      </c>
      <c r="I49" s="68" t="n">
        <f aca="false">F49+H49</f>
        <v>46239</v>
      </c>
      <c r="J49" s="75" t="n">
        <v>2</v>
      </c>
      <c r="K49" s="34" t="s">
        <v>227</v>
      </c>
      <c r="L49" s="73"/>
      <c r="M49" s="76" t="s">
        <v>228</v>
      </c>
      <c r="N49" s="77" t="n">
        <f aca="false">IF(AND($M49="Y",Assumptions!$B$10=1),Assumptions!$B$53,IF($L49&gt;0,$L49+Scenarios!$F$9,$I49+$J49+IF($I49&gt;Assumptions!$B$5,Scenarios!$F$8,0)))</f>
        <v>46241</v>
      </c>
      <c r="O49" s="67" t="n">
        <f aca="false">IF(AND($M49="Y",Assumptions!$B$10=1),$G49*(1-Assumptions!$B$52),$G49)</f>
        <v>144.8</v>
      </c>
      <c r="P49" s="72" t="str">
        <f aca="false">IF(AND($M49="Y",Assumptions!$B$10=1),"Invoice factoring - advance received",$D49)</f>
        <v>Collections - automotive Tier-1 OEM</v>
      </c>
      <c r="Q49" s="34" t="str">
        <f aca="false">IF(AND($M49="Y",Assumptions!$B$10=1),"Fixed",IF($L49&gt;0,"Fixed",IF($I49&gt;Assumptions!$B$5,"Trade","Fixed")))</f>
        <v>Trade</v>
      </c>
      <c r="R49" s="78" t="s">
        <v>231</v>
      </c>
    </row>
    <row r="50" customFormat="false" ht="12.75" hidden="false" customHeight="true" outlineLevel="0" collapsed="false">
      <c r="A50" s="49"/>
      <c r="B50" s="70" t="s">
        <v>170</v>
      </c>
      <c r="C50" s="71" t="s">
        <v>167</v>
      </c>
      <c r="D50" s="72" t="s">
        <v>111</v>
      </c>
      <c r="E50" s="49" t="s">
        <v>253</v>
      </c>
      <c r="F50" s="73" t="n">
        <v>46171</v>
      </c>
      <c r="G50" s="74" t="n">
        <f aca="false">ROUND(Assumptions!$B$25*0.97*$F$7,1)</f>
        <v>136.3</v>
      </c>
      <c r="H50" s="75" t="n">
        <v>75</v>
      </c>
      <c r="I50" s="68" t="n">
        <f aca="false">F50+H50</f>
        <v>46246</v>
      </c>
      <c r="J50" s="75" t="n">
        <v>2</v>
      </c>
      <c r="K50" s="34" t="s">
        <v>227</v>
      </c>
      <c r="L50" s="73"/>
      <c r="M50" s="76" t="s">
        <v>228</v>
      </c>
      <c r="N50" s="77" t="n">
        <f aca="false">IF(AND($M50="Y",Assumptions!$B$10=1),Assumptions!$B$53,IF($L50&gt;0,$L50+Scenarios!$F$9,$I50+$J50+IF($I50&gt;Assumptions!$B$5,Scenarios!$F$8,0)))</f>
        <v>46248</v>
      </c>
      <c r="O50" s="67" t="n">
        <f aca="false">IF(AND($M50="Y",Assumptions!$B$10=1),$G50*(1-Assumptions!$B$52),$G50)</f>
        <v>136.3</v>
      </c>
      <c r="P50" s="72" t="str">
        <f aca="false">IF(AND($M50="Y",Assumptions!$B$10=1),"Invoice factoring - advance received",$D50)</f>
        <v>Collections - automotive Tier-1 OEM</v>
      </c>
      <c r="Q50" s="34" t="str">
        <f aca="false">IF(AND($M50="Y",Assumptions!$B$10=1),"Fixed",IF($L50&gt;0,"Fixed",IF($I50&gt;Assumptions!$B$5,"Trade","Fixed")))</f>
        <v>Trade</v>
      </c>
      <c r="R50" s="78" t="s">
        <v>233</v>
      </c>
    </row>
    <row r="51" customFormat="false" ht="12.75" hidden="false" customHeight="true" outlineLevel="0" collapsed="false">
      <c r="A51" s="49"/>
      <c r="B51" s="70" t="s">
        <v>170</v>
      </c>
      <c r="C51" s="71" t="s">
        <v>167</v>
      </c>
      <c r="D51" s="72" t="s">
        <v>111</v>
      </c>
      <c r="E51" s="49" t="s">
        <v>254</v>
      </c>
      <c r="F51" s="73" t="n">
        <v>46178</v>
      </c>
      <c r="G51" s="74" t="n">
        <f aca="false">ROUND(Assumptions!$B$25*1.05*$F$7,1)</f>
        <v>147.6</v>
      </c>
      <c r="H51" s="75" t="n">
        <v>75</v>
      </c>
      <c r="I51" s="68" t="n">
        <f aca="false">F51+H51</f>
        <v>46253</v>
      </c>
      <c r="J51" s="75" t="n">
        <v>2</v>
      </c>
      <c r="K51" s="34" t="s">
        <v>227</v>
      </c>
      <c r="L51" s="73"/>
      <c r="M51" s="76" t="s">
        <v>228</v>
      </c>
      <c r="N51" s="77" t="n">
        <f aca="false">IF(AND($M51="Y",Assumptions!$B$10=1),Assumptions!$B$53,IF($L51&gt;0,$L51+Scenarios!$F$9,$I51+$J51+IF($I51&gt;Assumptions!$B$5,Scenarios!$F$8,0)))</f>
        <v>46255</v>
      </c>
      <c r="O51" s="67" t="n">
        <f aca="false">IF(AND($M51="Y",Assumptions!$B$10=1),$G51*(1-Assumptions!$B$52),$G51)</f>
        <v>147.6</v>
      </c>
      <c r="P51" s="72" t="str">
        <f aca="false">IF(AND($M51="Y",Assumptions!$B$10=1),"Invoice factoring - advance received",$D51)</f>
        <v>Collections - automotive Tier-1 OEM</v>
      </c>
      <c r="Q51" s="34" t="str">
        <f aca="false">IF(AND($M51="Y",Assumptions!$B$10=1),"Fixed",IF($L51&gt;0,"Fixed",IF($I51&gt;Assumptions!$B$5,"Trade","Fixed")))</f>
        <v>Trade</v>
      </c>
      <c r="R51" s="78" t="s">
        <v>235</v>
      </c>
    </row>
    <row r="52" customFormat="false" ht="12.75" hidden="false" customHeight="true" outlineLevel="0" collapsed="false">
      <c r="A52" s="49"/>
      <c r="B52" s="70" t="s">
        <v>170</v>
      </c>
      <c r="C52" s="71" t="s">
        <v>167</v>
      </c>
      <c r="D52" s="72" t="s">
        <v>111</v>
      </c>
      <c r="E52" s="49" t="s">
        <v>255</v>
      </c>
      <c r="F52" s="73" t="n">
        <v>46185</v>
      </c>
      <c r="G52" s="74" t="n">
        <f aca="false">ROUND(Assumptions!$B$25*0.99*$F$7,1)</f>
        <v>139.1</v>
      </c>
      <c r="H52" s="75" t="n">
        <v>75</v>
      </c>
      <c r="I52" s="68" t="n">
        <f aca="false">F52+H52</f>
        <v>46260</v>
      </c>
      <c r="J52" s="75" t="n">
        <v>2</v>
      </c>
      <c r="K52" s="34" t="s">
        <v>227</v>
      </c>
      <c r="L52" s="73"/>
      <c r="M52" s="76" t="s">
        <v>228</v>
      </c>
      <c r="N52" s="77" t="n">
        <f aca="false">IF(AND($M52="Y",Assumptions!$B$10=1),Assumptions!$B$53,IF($L52&gt;0,$L52+Scenarios!$F$9,$I52+$J52+IF($I52&gt;Assumptions!$B$5,Scenarios!$F$8,0)))</f>
        <v>46262</v>
      </c>
      <c r="O52" s="67" t="n">
        <f aca="false">IF(AND($M52="Y",Assumptions!$B$10=1),$G52*(1-Assumptions!$B$52),$G52)</f>
        <v>139.1</v>
      </c>
      <c r="P52" s="72" t="str">
        <f aca="false">IF(AND($M52="Y",Assumptions!$B$10=1),"Invoice factoring - advance received",$D52)</f>
        <v>Collections - automotive Tier-1 OEM</v>
      </c>
      <c r="Q52" s="34" t="str">
        <f aca="false">IF(AND($M52="Y",Assumptions!$B$10=1),"Fixed",IF($L52&gt;0,"Fixed",IF($I52&gt;Assumptions!$B$5,"Trade","Fixed")))</f>
        <v>Trade</v>
      </c>
      <c r="R52" s="78" t="s">
        <v>237</v>
      </c>
    </row>
    <row r="53" customFormat="false" ht="12.75" hidden="false" customHeight="true" outlineLevel="0" collapsed="false">
      <c r="A53" s="49"/>
      <c r="B53" s="70" t="s">
        <v>170</v>
      </c>
      <c r="C53" s="71" t="s">
        <v>167</v>
      </c>
      <c r="D53" s="72" t="s">
        <v>111</v>
      </c>
      <c r="E53" s="49" t="s">
        <v>256</v>
      </c>
      <c r="F53" s="73" t="n">
        <v>46192</v>
      </c>
      <c r="G53" s="74" t="n">
        <f aca="false">ROUND(Assumptions!$B$25*1.02*$F$7,1)</f>
        <v>143.3</v>
      </c>
      <c r="H53" s="75" t="n">
        <v>75</v>
      </c>
      <c r="I53" s="68" t="n">
        <f aca="false">F53+H53</f>
        <v>46267</v>
      </c>
      <c r="J53" s="75" t="n">
        <v>2</v>
      </c>
      <c r="K53" s="34" t="s">
        <v>227</v>
      </c>
      <c r="L53" s="73"/>
      <c r="M53" s="76" t="s">
        <v>228</v>
      </c>
      <c r="N53" s="77" t="n">
        <f aca="false">IF(AND($M53="Y",Assumptions!$B$10=1),Assumptions!$B$53,IF($L53&gt;0,$L53+Scenarios!$F$9,$I53+$J53+IF($I53&gt;Assumptions!$B$5,Scenarios!$F$8,0)))</f>
        <v>46269</v>
      </c>
      <c r="O53" s="67" t="n">
        <f aca="false">IF(AND($M53="Y",Assumptions!$B$10=1),$G53*(1-Assumptions!$B$52),$G53)</f>
        <v>143.3</v>
      </c>
      <c r="P53" s="72" t="str">
        <f aca="false">IF(AND($M53="Y",Assumptions!$B$10=1),"Invoice factoring - advance received",$D53)</f>
        <v>Collections - automotive Tier-1 OEM</v>
      </c>
      <c r="Q53" s="34" t="str">
        <f aca="false">IF(AND($M53="Y",Assumptions!$B$10=1),"Fixed",IF($L53&gt;0,"Fixed",IF($I53&gt;Assumptions!$B$5,"Trade","Fixed")))</f>
        <v>Trade</v>
      </c>
      <c r="R53" s="78" t="s">
        <v>239</v>
      </c>
    </row>
    <row r="54" customFormat="false" ht="12.75" hidden="false" customHeight="true" outlineLevel="0" collapsed="false">
      <c r="A54" s="49"/>
      <c r="B54" s="70" t="s">
        <v>170</v>
      </c>
      <c r="C54" s="71" t="s">
        <v>167</v>
      </c>
      <c r="D54" s="72" t="s">
        <v>111</v>
      </c>
      <c r="E54" s="49" t="s">
        <v>257</v>
      </c>
      <c r="F54" s="73" t="n">
        <v>46199</v>
      </c>
      <c r="G54" s="74" t="n">
        <f aca="false">ROUND(Assumptions!$B$25*0.96*$F$7,1)</f>
        <v>134.9</v>
      </c>
      <c r="H54" s="75" t="n">
        <v>75</v>
      </c>
      <c r="I54" s="68" t="n">
        <f aca="false">F54+H54</f>
        <v>46274</v>
      </c>
      <c r="J54" s="75" t="n">
        <v>2</v>
      </c>
      <c r="K54" s="34" t="s">
        <v>227</v>
      </c>
      <c r="L54" s="73"/>
      <c r="M54" s="76" t="s">
        <v>228</v>
      </c>
      <c r="N54" s="77" t="n">
        <f aca="false">IF(AND($M54="Y",Assumptions!$B$10=1),Assumptions!$B$53,IF($L54&gt;0,$L54+Scenarios!$F$9,$I54+$J54+IF($I54&gt;Assumptions!$B$5,Scenarios!$F$8,0)))</f>
        <v>46276</v>
      </c>
      <c r="O54" s="67" t="n">
        <f aca="false">IF(AND($M54="Y",Assumptions!$B$10=1),$G54*(1-Assumptions!$B$52),$G54)</f>
        <v>134.9</v>
      </c>
      <c r="P54" s="72" t="str">
        <f aca="false">IF(AND($M54="Y",Assumptions!$B$10=1),"Invoice factoring - advance received",$D54)</f>
        <v>Collections - automotive Tier-1 OEM</v>
      </c>
      <c r="Q54" s="34" t="str">
        <f aca="false">IF(AND($M54="Y",Assumptions!$B$10=1),"Fixed",IF($L54&gt;0,"Fixed",IF($I54&gt;Assumptions!$B$5,"Trade","Fixed")))</f>
        <v>Trade</v>
      </c>
      <c r="R54" s="78" t="s">
        <v>241</v>
      </c>
    </row>
    <row r="55" customFormat="false" ht="12.75" hidden="false" customHeight="true" outlineLevel="0" collapsed="false">
      <c r="A55" s="49"/>
      <c r="B55" s="70" t="s">
        <v>170</v>
      </c>
      <c r="C55" s="71" t="s">
        <v>167</v>
      </c>
      <c r="D55" s="72" t="s">
        <v>111</v>
      </c>
      <c r="E55" s="49" t="s">
        <v>258</v>
      </c>
      <c r="F55" s="73" t="n">
        <v>46206</v>
      </c>
      <c r="G55" s="74" t="n">
        <f aca="false">ROUND(Assumptions!$B$25*1.04*$F$7,1)</f>
        <v>146.2</v>
      </c>
      <c r="H55" s="75" t="n">
        <v>75</v>
      </c>
      <c r="I55" s="68" t="n">
        <f aca="false">F55+H55</f>
        <v>46281</v>
      </c>
      <c r="J55" s="75" t="n">
        <v>2</v>
      </c>
      <c r="K55" s="34" t="s">
        <v>227</v>
      </c>
      <c r="L55" s="73"/>
      <c r="M55" s="76" t="s">
        <v>228</v>
      </c>
      <c r="N55" s="77" t="n">
        <f aca="false">IF(AND($M55="Y",Assumptions!$B$10=1),Assumptions!$B$53,IF($L55&gt;0,$L55+Scenarios!$F$9,$I55+$J55+IF($I55&gt;Assumptions!$B$5,Scenarios!$F$8,0)))</f>
        <v>46283</v>
      </c>
      <c r="O55" s="67" t="n">
        <f aca="false">IF(AND($M55="Y",Assumptions!$B$10=1),$G55*(1-Assumptions!$B$52),$G55)</f>
        <v>146.2</v>
      </c>
      <c r="P55" s="72" t="str">
        <f aca="false">IF(AND($M55="Y",Assumptions!$B$10=1),"Invoice factoring - advance received",$D55)</f>
        <v>Collections - automotive Tier-1 OEM</v>
      </c>
      <c r="Q55" s="34" t="str">
        <f aca="false">IF(AND($M55="Y",Assumptions!$B$10=1),"Fixed",IF($L55&gt;0,"Fixed",IF($I55&gt;Assumptions!$B$5,"Trade","Fixed")))</f>
        <v>Trade</v>
      </c>
      <c r="R55" s="78" t="s">
        <v>259</v>
      </c>
    </row>
    <row r="56" customFormat="false" ht="12.75" hidden="false" customHeight="true" outlineLevel="0" collapsed="false">
      <c r="A56" s="49"/>
      <c r="B56" s="70" t="s">
        <v>170</v>
      </c>
      <c r="C56" s="71" t="s">
        <v>167</v>
      </c>
      <c r="D56" s="72" t="s">
        <v>111</v>
      </c>
      <c r="E56" s="49" t="s">
        <v>260</v>
      </c>
      <c r="F56" s="73" t="n">
        <v>46213</v>
      </c>
      <c r="G56" s="74" t="n">
        <f aca="false">ROUND(Assumptions!$B$25*1.01*$F$7,1)</f>
        <v>141.9</v>
      </c>
      <c r="H56" s="75" t="n">
        <v>75</v>
      </c>
      <c r="I56" s="68" t="n">
        <f aca="false">F56+H56</f>
        <v>46288</v>
      </c>
      <c r="J56" s="75" t="n">
        <v>2</v>
      </c>
      <c r="K56" s="34" t="s">
        <v>227</v>
      </c>
      <c r="L56" s="73"/>
      <c r="M56" s="76" t="s">
        <v>228</v>
      </c>
      <c r="N56" s="77" t="n">
        <f aca="false">IF(AND($M56="Y",Assumptions!$B$10=1),Assumptions!$B$53,IF($L56&gt;0,$L56+Scenarios!$F$9,$I56+$J56+IF($I56&gt;Assumptions!$B$5,Scenarios!$F$8,0)))</f>
        <v>46290</v>
      </c>
      <c r="O56" s="67" t="n">
        <f aca="false">IF(AND($M56="Y",Assumptions!$B$10=1),$G56*(1-Assumptions!$B$52),$G56)</f>
        <v>141.9</v>
      </c>
      <c r="P56" s="72" t="str">
        <f aca="false">IF(AND($M56="Y",Assumptions!$B$10=1),"Invoice factoring - advance received",$D56)</f>
        <v>Collections - automotive Tier-1 OEM</v>
      </c>
      <c r="Q56" s="34" t="str">
        <f aca="false">IF(AND($M56="Y",Assumptions!$B$10=1),"Fixed",IF($L56&gt;0,"Fixed",IF($I56&gt;Assumptions!$B$5,"Trade","Fixed")))</f>
        <v>Trade</v>
      </c>
      <c r="R56" s="78" t="s">
        <v>261</v>
      </c>
    </row>
    <row r="57" customFormat="false" ht="12.75" hidden="false" customHeight="true" outlineLevel="0" collapsed="false">
      <c r="A57" s="49"/>
      <c r="B57" s="70" t="s">
        <v>170</v>
      </c>
      <c r="C57" s="71" t="s">
        <v>167</v>
      </c>
      <c r="D57" s="72" t="s">
        <v>111</v>
      </c>
      <c r="E57" s="49" t="s">
        <v>262</v>
      </c>
      <c r="F57" s="73" t="n">
        <v>46220</v>
      </c>
      <c r="G57" s="74" t="n">
        <f aca="false">ROUND(Assumptions!$B$25*0.98*$F$7,1)</f>
        <v>137.7</v>
      </c>
      <c r="H57" s="75" t="n">
        <v>75</v>
      </c>
      <c r="I57" s="68" t="n">
        <f aca="false">F57+H57</f>
        <v>46295</v>
      </c>
      <c r="J57" s="75" t="n">
        <v>2</v>
      </c>
      <c r="K57" s="34" t="s">
        <v>227</v>
      </c>
      <c r="L57" s="73"/>
      <c r="M57" s="76" t="s">
        <v>228</v>
      </c>
      <c r="N57" s="77" t="n">
        <f aca="false">IF(AND($M57="Y",Assumptions!$B$10=1),Assumptions!$B$53,IF($L57&gt;0,$L57+Scenarios!$F$9,$I57+$J57+IF($I57&gt;Assumptions!$B$5,Scenarios!$F$8,0)))</f>
        <v>46297</v>
      </c>
      <c r="O57" s="67" t="n">
        <f aca="false">IF(AND($M57="Y",Assumptions!$B$10=1),$G57*(1-Assumptions!$B$52),$G57)</f>
        <v>137.7</v>
      </c>
      <c r="P57" s="72" t="str">
        <f aca="false">IF(AND($M57="Y",Assumptions!$B$10=1),"Invoice factoring - advance received",$D57)</f>
        <v>Collections - automotive Tier-1 OEM</v>
      </c>
      <c r="Q57" s="34" t="str">
        <f aca="false">IF(AND($M57="Y",Assumptions!$B$10=1),"Fixed",IF($L57&gt;0,"Fixed",IF($I57&gt;Assumptions!$B$5,"Trade","Fixed")))</f>
        <v>Trade</v>
      </c>
      <c r="R57" s="78" t="s">
        <v>263</v>
      </c>
    </row>
    <row r="58" customFormat="false" ht="12.75" hidden="false" customHeight="true" outlineLevel="0" collapsed="false">
      <c r="A58" s="49"/>
      <c r="B58" s="70" t="s">
        <v>170</v>
      </c>
      <c r="C58" s="71" t="s">
        <v>167</v>
      </c>
      <c r="D58" s="72" t="s">
        <v>111</v>
      </c>
      <c r="E58" s="49" t="s">
        <v>264</v>
      </c>
      <c r="F58" s="73" t="n">
        <v>46227</v>
      </c>
      <c r="G58" s="74" t="n">
        <f aca="false">ROUND(Assumptions!$B$25*1.03*$F$7,1)</f>
        <v>144.8</v>
      </c>
      <c r="H58" s="75" t="n">
        <v>75</v>
      </c>
      <c r="I58" s="68" t="n">
        <f aca="false">F58+H58</f>
        <v>46302</v>
      </c>
      <c r="J58" s="75" t="n">
        <v>2</v>
      </c>
      <c r="K58" s="34" t="s">
        <v>227</v>
      </c>
      <c r="L58" s="73"/>
      <c r="M58" s="76" t="s">
        <v>228</v>
      </c>
      <c r="N58" s="77" t="n">
        <f aca="false">IF(AND($M58="Y",Assumptions!$B$10=1),Assumptions!$B$53,IF($L58&gt;0,$L58+Scenarios!$F$9,$I58+$J58+IF($I58&gt;Assumptions!$B$5,Scenarios!$F$8,0)))</f>
        <v>46304</v>
      </c>
      <c r="O58" s="67" t="n">
        <f aca="false">IF(AND($M58="Y",Assumptions!$B$10=1),$G58*(1-Assumptions!$B$52),$G58)</f>
        <v>144.8</v>
      </c>
      <c r="P58" s="72" t="str">
        <f aca="false">IF(AND($M58="Y",Assumptions!$B$10=1),"Invoice factoring - advance received",$D58)</f>
        <v>Collections - automotive Tier-1 OEM</v>
      </c>
      <c r="Q58" s="34" t="str">
        <f aca="false">IF(AND($M58="Y",Assumptions!$B$10=1),"Fixed",IF($L58&gt;0,"Fixed",IF($I58&gt;Assumptions!$B$5,"Trade","Fixed")))</f>
        <v>Trade</v>
      </c>
      <c r="R58" s="78" t="s">
        <v>231</v>
      </c>
    </row>
    <row r="59" customFormat="false" ht="12.75" hidden="false" customHeight="true" outlineLevel="0" collapsed="false">
      <c r="A59" s="49"/>
      <c r="B59" s="70" t="s">
        <v>172</v>
      </c>
      <c r="C59" s="71" t="s">
        <v>173</v>
      </c>
      <c r="D59" s="72" t="s">
        <v>111</v>
      </c>
      <c r="E59" s="49" t="s">
        <v>265</v>
      </c>
      <c r="F59" s="73" t="n">
        <v>46164</v>
      </c>
      <c r="G59" s="74" t="n">
        <f aca="false">ROUND(Assumptions!$B$25*1*$F$8,1)</f>
        <v>80.3</v>
      </c>
      <c r="H59" s="75" t="n">
        <v>60</v>
      </c>
      <c r="I59" s="68" t="n">
        <f aca="false">F59+H59</f>
        <v>46224</v>
      </c>
      <c r="J59" s="75" t="n">
        <v>9</v>
      </c>
      <c r="K59" s="34" t="s">
        <v>227</v>
      </c>
      <c r="L59" s="73"/>
      <c r="M59" s="76" t="s">
        <v>228</v>
      </c>
      <c r="N59" s="77" t="n">
        <f aca="false">IF(AND($M59="Y",Assumptions!$B$10=1),Assumptions!$B$53,IF($L59&gt;0,$L59+Scenarios!$F$9,$I59+$J59+IF($I59&gt;Assumptions!$B$5,Scenarios!$F$8,0)))</f>
        <v>46233</v>
      </c>
      <c r="O59" s="67" t="n">
        <f aca="false">IF(AND($M59="Y",Assumptions!$B$10=1),$G59*(1-Assumptions!$B$52),$G59)</f>
        <v>80.3</v>
      </c>
      <c r="P59" s="72" t="str">
        <f aca="false">IF(AND($M59="Y",Assumptions!$B$10=1),"Invoice factoring - advance received",$D59)</f>
        <v>Collections - automotive Tier-1 OEM</v>
      </c>
      <c r="Q59" s="34" t="str">
        <f aca="false">IF(AND($M59="Y",Assumptions!$B$10=1),"Fixed",IF($L59&gt;0,"Fixed",IF($I59&gt;Assumptions!$B$5,"Trade","Fixed")))</f>
        <v>Fixed</v>
      </c>
      <c r="R59" s="78" t="s">
        <v>229</v>
      </c>
    </row>
    <row r="60" customFormat="false" ht="12.75" hidden="false" customHeight="true" outlineLevel="0" collapsed="false">
      <c r="A60" s="49"/>
      <c r="B60" s="70" t="s">
        <v>172</v>
      </c>
      <c r="C60" s="71" t="s">
        <v>173</v>
      </c>
      <c r="D60" s="72" t="s">
        <v>111</v>
      </c>
      <c r="E60" s="49" t="s">
        <v>266</v>
      </c>
      <c r="F60" s="73" t="n">
        <v>46171</v>
      </c>
      <c r="G60" s="74" t="n">
        <f aca="false">ROUND(Assumptions!$B$25*1.03*$F$8,1)</f>
        <v>82.7</v>
      </c>
      <c r="H60" s="75" t="n">
        <v>60</v>
      </c>
      <c r="I60" s="68" t="n">
        <f aca="false">F60+H60</f>
        <v>46231</v>
      </c>
      <c r="J60" s="75" t="n">
        <v>9</v>
      </c>
      <c r="K60" s="34" t="s">
        <v>227</v>
      </c>
      <c r="L60" s="73"/>
      <c r="M60" s="76" t="s">
        <v>228</v>
      </c>
      <c r="N60" s="77" t="n">
        <f aca="false">IF(AND($M60="Y",Assumptions!$B$10=1),Assumptions!$B$53,IF($L60&gt;0,$L60+Scenarios!$F$9,$I60+$J60+IF($I60&gt;Assumptions!$B$5,Scenarios!$F$8,0)))</f>
        <v>46240</v>
      </c>
      <c r="O60" s="67" t="n">
        <f aca="false">IF(AND($M60="Y",Assumptions!$B$10=1),$G60*(1-Assumptions!$B$52),$G60)</f>
        <v>82.7</v>
      </c>
      <c r="P60" s="72" t="str">
        <f aca="false">IF(AND($M60="Y",Assumptions!$B$10=1),"Invoice factoring - advance received",$D60)</f>
        <v>Collections - automotive Tier-1 OEM</v>
      </c>
      <c r="Q60" s="34" t="str">
        <f aca="false">IF(AND($M60="Y",Assumptions!$B$10=1),"Fixed",IF($L60&gt;0,"Fixed",IF($I60&gt;Assumptions!$B$5,"Trade","Fixed")))</f>
        <v>Trade</v>
      </c>
      <c r="R60" s="78" t="s">
        <v>231</v>
      </c>
    </row>
    <row r="61" customFormat="false" ht="12.75" hidden="false" customHeight="true" outlineLevel="0" collapsed="false">
      <c r="A61" s="49"/>
      <c r="B61" s="70" t="s">
        <v>172</v>
      </c>
      <c r="C61" s="71" t="s">
        <v>173</v>
      </c>
      <c r="D61" s="72" t="s">
        <v>111</v>
      </c>
      <c r="E61" s="49" t="s">
        <v>267</v>
      </c>
      <c r="F61" s="73" t="n">
        <v>46178</v>
      </c>
      <c r="G61" s="74" t="n">
        <f aca="false">ROUND(Assumptions!$B$25*0.97*$F$8,1)</f>
        <v>77.9</v>
      </c>
      <c r="H61" s="75" t="n">
        <v>60</v>
      </c>
      <c r="I61" s="68" t="n">
        <f aca="false">F61+H61</f>
        <v>46238</v>
      </c>
      <c r="J61" s="75" t="n">
        <v>9</v>
      </c>
      <c r="K61" s="34" t="s">
        <v>227</v>
      </c>
      <c r="L61" s="73"/>
      <c r="M61" s="76" t="s">
        <v>228</v>
      </c>
      <c r="N61" s="77" t="n">
        <f aca="false">IF(AND($M61="Y",Assumptions!$B$10=1),Assumptions!$B$53,IF($L61&gt;0,$L61+Scenarios!$F$9,$I61+$J61+IF($I61&gt;Assumptions!$B$5,Scenarios!$F$8,0)))</f>
        <v>46247</v>
      </c>
      <c r="O61" s="67" t="n">
        <f aca="false">IF(AND($M61="Y",Assumptions!$B$10=1),$G61*(1-Assumptions!$B$52),$G61)</f>
        <v>77.9</v>
      </c>
      <c r="P61" s="72" t="str">
        <f aca="false">IF(AND($M61="Y",Assumptions!$B$10=1),"Invoice factoring - advance received",$D61)</f>
        <v>Collections - automotive Tier-1 OEM</v>
      </c>
      <c r="Q61" s="34" t="str">
        <f aca="false">IF(AND($M61="Y",Assumptions!$B$10=1),"Fixed",IF($L61&gt;0,"Fixed",IF($I61&gt;Assumptions!$B$5,"Trade","Fixed")))</f>
        <v>Trade</v>
      </c>
      <c r="R61" s="78" t="s">
        <v>233</v>
      </c>
    </row>
    <row r="62" customFormat="false" ht="12.75" hidden="false" customHeight="true" outlineLevel="0" collapsed="false">
      <c r="A62" s="49"/>
      <c r="B62" s="70" t="s">
        <v>172</v>
      </c>
      <c r="C62" s="71" t="s">
        <v>173</v>
      </c>
      <c r="D62" s="72" t="s">
        <v>111</v>
      </c>
      <c r="E62" s="49" t="s">
        <v>268</v>
      </c>
      <c r="F62" s="73" t="n">
        <v>46185</v>
      </c>
      <c r="G62" s="74" t="n">
        <f aca="false">ROUND(Assumptions!$B$25*1.05*$F$8,1)</f>
        <v>84.3</v>
      </c>
      <c r="H62" s="75" t="n">
        <v>60</v>
      </c>
      <c r="I62" s="68" t="n">
        <f aca="false">F62+H62</f>
        <v>46245</v>
      </c>
      <c r="J62" s="75" t="n">
        <v>9</v>
      </c>
      <c r="K62" s="34" t="s">
        <v>227</v>
      </c>
      <c r="L62" s="73"/>
      <c r="M62" s="76" t="s">
        <v>228</v>
      </c>
      <c r="N62" s="77" t="n">
        <f aca="false">IF(AND($M62="Y",Assumptions!$B$10=1),Assumptions!$B$53,IF($L62&gt;0,$L62+Scenarios!$F$9,$I62+$J62+IF($I62&gt;Assumptions!$B$5,Scenarios!$F$8,0)))</f>
        <v>46254</v>
      </c>
      <c r="O62" s="67" t="n">
        <f aca="false">IF(AND($M62="Y",Assumptions!$B$10=1),$G62*(1-Assumptions!$B$52),$G62)</f>
        <v>84.3</v>
      </c>
      <c r="P62" s="72" t="str">
        <f aca="false">IF(AND($M62="Y",Assumptions!$B$10=1),"Invoice factoring - advance received",$D62)</f>
        <v>Collections - automotive Tier-1 OEM</v>
      </c>
      <c r="Q62" s="34" t="str">
        <f aca="false">IF(AND($M62="Y",Assumptions!$B$10=1),"Fixed",IF($L62&gt;0,"Fixed",IF($I62&gt;Assumptions!$B$5,"Trade","Fixed")))</f>
        <v>Trade</v>
      </c>
      <c r="R62" s="78" t="s">
        <v>235</v>
      </c>
    </row>
    <row r="63" customFormat="false" ht="12.75" hidden="false" customHeight="true" outlineLevel="0" collapsed="false">
      <c r="A63" s="49"/>
      <c r="B63" s="70" t="s">
        <v>172</v>
      </c>
      <c r="C63" s="71" t="s">
        <v>173</v>
      </c>
      <c r="D63" s="72" t="s">
        <v>111</v>
      </c>
      <c r="E63" s="49" t="s">
        <v>269</v>
      </c>
      <c r="F63" s="73" t="n">
        <v>46192</v>
      </c>
      <c r="G63" s="74" t="n">
        <f aca="false">ROUND(Assumptions!$B$25*0.99*$F$8,1)</f>
        <v>79.5</v>
      </c>
      <c r="H63" s="75" t="n">
        <v>60</v>
      </c>
      <c r="I63" s="68" t="n">
        <f aca="false">F63+H63</f>
        <v>46252</v>
      </c>
      <c r="J63" s="75" t="n">
        <v>9</v>
      </c>
      <c r="K63" s="34" t="s">
        <v>227</v>
      </c>
      <c r="L63" s="73"/>
      <c r="M63" s="76" t="s">
        <v>228</v>
      </c>
      <c r="N63" s="77" t="n">
        <f aca="false">IF(AND($M63="Y",Assumptions!$B$10=1),Assumptions!$B$53,IF($L63&gt;0,$L63+Scenarios!$F$9,$I63+$J63+IF($I63&gt;Assumptions!$B$5,Scenarios!$F$8,0)))</f>
        <v>46261</v>
      </c>
      <c r="O63" s="67" t="n">
        <f aca="false">IF(AND($M63="Y",Assumptions!$B$10=1),$G63*(1-Assumptions!$B$52),$G63)</f>
        <v>79.5</v>
      </c>
      <c r="P63" s="72" t="str">
        <f aca="false">IF(AND($M63="Y",Assumptions!$B$10=1),"Invoice factoring - advance received",$D63)</f>
        <v>Collections - automotive Tier-1 OEM</v>
      </c>
      <c r="Q63" s="34" t="str">
        <f aca="false">IF(AND($M63="Y",Assumptions!$B$10=1),"Fixed",IF($L63&gt;0,"Fixed",IF($I63&gt;Assumptions!$B$5,"Trade","Fixed")))</f>
        <v>Trade</v>
      </c>
      <c r="R63" s="78" t="s">
        <v>237</v>
      </c>
    </row>
    <row r="64" customFormat="false" ht="12.75" hidden="false" customHeight="true" outlineLevel="0" collapsed="false">
      <c r="A64" s="49"/>
      <c r="B64" s="70" t="s">
        <v>172</v>
      </c>
      <c r="C64" s="71" t="s">
        <v>173</v>
      </c>
      <c r="D64" s="72" t="s">
        <v>111</v>
      </c>
      <c r="E64" s="49" t="s">
        <v>270</v>
      </c>
      <c r="F64" s="73" t="n">
        <v>46199</v>
      </c>
      <c r="G64" s="74" t="n">
        <f aca="false">ROUND(Assumptions!$B$25*1.02*$F$8,1)</f>
        <v>81.9</v>
      </c>
      <c r="H64" s="75" t="n">
        <v>60</v>
      </c>
      <c r="I64" s="68" t="n">
        <f aca="false">F64+H64</f>
        <v>46259</v>
      </c>
      <c r="J64" s="75" t="n">
        <v>9</v>
      </c>
      <c r="K64" s="34" t="s">
        <v>227</v>
      </c>
      <c r="L64" s="73"/>
      <c r="M64" s="76" t="s">
        <v>228</v>
      </c>
      <c r="N64" s="77" t="n">
        <f aca="false">IF(AND($M64="Y",Assumptions!$B$10=1),Assumptions!$B$53,IF($L64&gt;0,$L64+Scenarios!$F$9,$I64+$J64+IF($I64&gt;Assumptions!$B$5,Scenarios!$F$8,0)))</f>
        <v>46268</v>
      </c>
      <c r="O64" s="67" t="n">
        <f aca="false">IF(AND($M64="Y",Assumptions!$B$10=1),$G64*(1-Assumptions!$B$52),$G64)</f>
        <v>81.9</v>
      </c>
      <c r="P64" s="72" t="str">
        <f aca="false">IF(AND($M64="Y",Assumptions!$B$10=1),"Invoice factoring - advance received",$D64)</f>
        <v>Collections - automotive Tier-1 OEM</v>
      </c>
      <c r="Q64" s="34" t="str">
        <f aca="false">IF(AND($M64="Y",Assumptions!$B$10=1),"Fixed",IF($L64&gt;0,"Fixed",IF($I64&gt;Assumptions!$B$5,"Trade","Fixed")))</f>
        <v>Trade</v>
      </c>
      <c r="R64" s="78" t="s">
        <v>239</v>
      </c>
    </row>
    <row r="65" customFormat="false" ht="12.75" hidden="false" customHeight="true" outlineLevel="0" collapsed="false">
      <c r="A65" s="49"/>
      <c r="B65" s="70" t="s">
        <v>172</v>
      </c>
      <c r="C65" s="71" t="s">
        <v>173</v>
      </c>
      <c r="D65" s="72" t="s">
        <v>111</v>
      </c>
      <c r="E65" s="49" t="s">
        <v>271</v>
      </c>
      <c r="F65" s="73" t="n">
        <v>46206</v>
      </c>
      <c r="G65" s="74" t="n">
        <f aca="false">ROUND(Assumptions!$B$25*0.96*$F$8,1)</f>
        <v>77.1</v>
      </c>
      <c r="H65" s="75" t="n">
        <v>60</v>
      </c>
      <c r="I65" s="68" t="n">
        <f aca="false">F65+H65</f>
        <v>46266</v>
      </c>
      <c r="J65" s="75" t="n">
        <v>9</v>
      </c>
      <c r="K65" s="34" t="s">
        <v>227</v>
      </c>
      <c r="L65" s="73"/>
      <c r="M65" s="76" t="s">
        <v>228</v>
      </c>
      <c r="N65" s="77" t="n">
        <f aca="false">IF(AND($M65="Y",Assumptions!$B$10=1),Assumptions!$B$53,IF($L65&gt;0,$L65+Scenarios!$F$9,$I65+$J65+IF($I65&gt;Assumptions!$B$5,Scenarios!$F$8,0)))</f>
        <v>46275</v>
      </c>
      <c r="O65" s="67" t="n">
        <f aca="false">IF(AND($M65="Y",Assumptions!$B$10=1),$G65*(1-Assumptions!$B$52),$G65)</f>
        <v>77.1</v>
      </c>
      <c r="P65" s="72" t="str">
        <f aca="false">IF(AND($M65="Y",Assumptions!$B$10=1),"Invoice factoring - advance received",$D65)</f>
        <v>Collections - automotive Tier-1 OEM</v>
      </c>
      <c r="Q65" s="34" t="str">
        <f aca="false">IF(AND($M65="Y",Assumptions!$B$10=1),"Fixed",IF($L65&gt;0,"Fixed",IF($I65&gt;Assumptions!$B$5,"Trade","Fixed")))</f>
        <v>Trade</v>
      </c>
      <c r="R65" s="78" t="s">
        <v>241</v>
      </c>
    </row>
    <row r="66" customFormat="false" ht="12.75" hidden="false" customHeight="true" outlineLevel="0" collapsed="false">
      <c r="A66" s="49"/>
      <c r="B66" s="70" t="s">
        <v>172</v>
      </c>
      <c r="C66" s="71" t="s">
        <v>173</v>
      </c>
      <c r="D66" s="72" t="s">
        <v>111</v>
      </c>
      <c r="E66" s="49" t="s">
        <v>272</v>
      </c>
      <c r="F66" s="73" t="n">
        <v>46213</v>
      </c>
      <c r="G66" s="74" t="n">
        <f aca="false">ROUND(Assumptions!$B$25*1.04*$F$8,1)</f>
        <v>83.5</v>
      </c>
      <c r="H66" s="75" t="n">
        <v>60</v>
      </c>
      <c r="I66" s="68" t="n">
        <f aca="false">F66+H66</f>
        <v>46273</v>
      </c>
      <c r="J66" s="75" t="n">
        <v>9</v>
      </c>
      <c r="K66" s="34" t="s">
        <v>227</v>
      </c>
      <c r="L66" s="73"/>
      <c r="M66" s="76" t="s">
        <v>228</v>
      </c>
      <c r="N66" s="77" t="n">
        <f aca="false">IF(AND($M66="Y",Assumptions!$B$10=1),Assumptions!$B$53,IF($L66&gt;0,$L66+Scenarios!$F$9,$I66+$J66+IF($I66&gt;Assumptions!$B$5,Scenarios!$F$8,0)))</f>
        <v>46282</v>
      </c>
      <c r="O66" s="67" t="n">
        <f aca="false">IF(AND($M66="Y",Assumptions!$B$10=1),$G66*(1-Assumptions!$B$52),$G66)</f>
        <v>83.5</v>
      </c>
      <c r="P66" s="72" t="str">
        <f aca="false">IF(AND($M66="Y",Assumptions!$B$10=1),"Invoice factoring - advance received",$D66)</f>
        <v>Collections - automotive Tier-1 OEM</v>
      </c>
      <c r="Q66" s="34" t="str">
        <f aca="false">IF(AND($M66="Y",Assumptions!$B$10=1),"Fixed",IF($L66&gt;0,"Fixed",IF($I66&gt;Assumptions!$B$5,"Trade","Fixed")))</f>
        <v>Trade</v>
      </c>
      <c r="R66" s="78" t="s">
        <v>259</v>
      </c>
    </row>
    <row r="67" customFormat="false" ht="12.75" hidden="false" customHeight="true" outlineLevel="0" collapsed="false">
      <c r="A67" s="49"/>
      <c r="B67" s="70" t="s">
        <v>172</v>
      </c>
      <c r="C67" s="71" t="s">
        <v>173</v>
      </c>
      <c r="D67" s="72" t="s">
        <v>111</v>
      </c>
      <c r="E67" s="49" t="s">
        <v>273</v>
      </c>
      <c r="F67" s="73" t="n">
        <v>46220</v>
      </c>
      <c r="G67" s="74" t="n">
        <f aca="false">ROUND(Assumptions!$B$25*1.01*$F$8,1)</f>
        <v>81.1</v>
      </c>
      <c r="H67" s="75" t="n">
        <v>60</v>
      </c>
      <c r="I67" s="68" t="n">
        <f aca="false">F67+H67</f>
        <v>46280</v>
      </c>
      <c r="J67" s="75" t="n">
        <v>9</v>
      </c>
      <c r="K67" s="34" t="s">
        <v>227</v>
      </c>
      <c r="L67" s="73"/>
      <c r="M67" s="76" t="s">
        <v>228</v>
      </c>
      <c r="N67" s="77" t="n">
        <f aca="false">IF(AND($M67="Y",Assumptions!$B$10=1),Assumptions!$B$53,IF($L67&gt;0,$L67+Scenarios!$F$9,$I67+$J67+IF($I67&gt;Assumptions!$B$5,Scenarios!$F$8,0)))</f>
        <v>46289</v>
      </c>
      <c r="O67" s="67" t="n">
        <f aca="false">IF(AND($M67="Y",Assumptions!$B$10=1),$G67*(1-Assumptions!$B$52),$G67)</f>
        <v>81.1</v>
      </c>
      <c r="P67" s="72" t="str">
        <f aca="false">IF(AND($M67="Y",Assumptions!$B$10=1),"Invoice factoring - advance received",$D67)</f>
        <v>Collections - automotive Tier-1 OEM</v>
      </c>
      <c r="Q67" s="34" t="str">
        <f aca="false">IF(AND($M67="Y",Assumptions!$B$10=1),"Fixed",IF($L67&gt;0,"Fixed",IF($I67&gt;Assumptions!$B$5,"Trade","Fixed")))</f>
        <v>Trade</v>
      </c>
      <c r="R67" s="78" t="s">
        <v>261</v>
      </c>
    </row>
    <row r="68" customFormat="false" ht="12.75" hidden="false" customHeight="true" outlineLevel="0" collapsed="false">
      <c r="A68" s="49"/>
      <c r="B68" s="70" t="s">
        <v>172</v>
      </c>
      <c r="C68" s="71" t="s">
        <v>173</v>
      </c>
      <c r="D68" s="72" t="s">
        <v>111</v>
      </c>
      <c r="E68" s="49" t="s">
        <v>274</v>
      </c>
      <c r="F68" s="73" t="n">
        <v>46227</v>
      </c>
      <c r="G68" s="74" t="n">
        <f aca="false">ROUND(Assumptions!$B$25*0.98*$F$8,1)</f>
        <v>78.7</v>
      </c>
      <c r="H68" s="75" t="n">
        <v>60</v>
      </c>
      <c r="I68" s="68" t="n">
        <f aca="false">F68+H68</f>
        <v>46287</v>
      </c>
      <c r="J68" s="75" t="n">
        <v>9</v>
      </c>
      <c r="K68" s="34" t="s">
        <v>227</v>
      </c>
      <c r="L68" s="73"/>
      <c r="M68" s="76" t="s">
        <v>228</v>
      </c>
      <c r="N68" s="77" t="n">
        <f aca="false">IF(AND($M68="Y",Assumptions!$B$10=1),Assumptions!$B$53,IF($L68&gt;0,$L68+Scenarios!$F$9,$I68+$J68+IF($I68&gt;Assumptions!$B$5,Scenarios!$F$8,0)))</f>
        <v>46296</v>
      </c>
      <c r="O68" s="67" t="n">
        <f aca="false">IF(AND($M68="Y",Assumptions!$B$10=1),$G68*(1-Assumptions!$B$52),$G68)</f>
        <v>78.7</v>
      </c>
      <c r="P68" s="72" t="str">
        <f aca="false">IF(AND($M68="Y",Assumptions!$B$10=1),"Invoice factoring - advance received",$D68)</f>
        <v>Collections - automotive Tier-1 OEM</v>
      </c>
      <c r="Q68" s="34" t="str">
        <f aca="false">IF(AND($M68="Y",Assumptions!$B$10=1),"Fixed",IF($L68&gt;0,"Fixed",IF($I68&gt;Assumptions!$B$5,"Trade","Fixed")))</f>
        <v>Trade</v>
      </c>
      <c r="R68" s="78" t="s">
        <v>263</v>
      </c>
    </row>
    <row r="69" customFormat="false" ht="12.75" hidden="false" customHeight="true" outlineLevel="0" collapsed="false">
      <c r="A69" s="49"/>
      <c r="B69" s="70" t="s">
        <v>175</v>
      </c>
      <c r="C69" s="71" t="s">
        <v>176</v>
      </c>
      <c r="D69" s="72" t="s">
        <v>112</v>
      </c>
      <c r="E69" s="49" t="s">
        <v>275</v>
      </c>
      <c r="F69" s="73" t="n">
        <v>46164</v>
      </c>
      <c r="G69" s="74" t="n">
        <f aca="false">ROUND(Assumptions!$B$25*1*$F$9,1)</f>
        <v>93.7</v>
      </c>
      <c r="H69" s="75" t="n">
        <v>60</v>
      </c>
      <c r="I69" s="68" t="n">
        <f aca="false">F69+H69</f>
        <v>46224</v>
      </c>
      <c r="J69" s="75" t="n">
        <v>6</v>
      </c>
      <c r="K69" s="34" t="s">
        <v>227</v>
      </c>
      <c r="L69" s="73"/>
      <c r="M69" s="76" t="s">
        <v>228</v>
      </c>
      <c r="N69" s="77" t="n">
        <f aca="false">IF(AND($M69="Y",Assumptions!$B$10=1),Assumptions!$B$53,IF($L69&gt;0,$L69+Scenarios!$F$9,$I69+$J69+IF($I69&gt;Assumptions!$B$5,Scenarios!$F$8,0)))</f>
        <v>46230</v>
      </c>
      <c r="O69" s="67" t="n">
        <f aca="false">IF(AND($M69="Y",Assumptions!$B$10=1),$G69*(1-Assumptions!$B$52),$G69)</f>
        <v>93.7</v>
      </c>
      <c r="P69" s="72" t="str">
        <f aca="false">IF(AND($M69="Y",Assumptions!$B$10=1),"Invoice factoring - advance received",$D69)</f>
        <v>Collections - industrial OEM</v>
      </c>
      <c r="Q69" s="34" t="str">
        <f aca="false">IF(AND($M69="Y",Assumptions!$B$10=1),"Fixed",IF($L69&gt;0,"Fixed",IF($I69&gt;Assumptions!$B$5,"Trade","Fixed")))</f>
        <v>Fixed</v>
      </c>
      <c r="R69" s="78" t="s">
        <v>229</v>
      </c>
    </row>
    <row r="70" customFormat="false" ht="12.75" hidden="false" customHeight="true" outlineLevel="0" collapsed="false">
      <c r="A70" s="49"/>
      <c r="B70" s="70" t="s">
        <v>175</v>
      </c>
      <c r="C70" s="71" t="s">
        <v>176</v>
      </c>
      <c r="D70" s="72" t="s">
        <v>112</v>
      </c>
      <c r="E70" s="49" t="s">
        <v>276</v>
      </c>
      <c r="F70" s="73" t="n">
        <v>46171</v>
      </c>
      <c r="G70" s="74" t="n">
        <f aca="false">ROUND(Assumptions!$B$25*1.03*$F$9,1)</f>
        <v>96.5</v>
      </c>
      <c r="H70" s="75" t="n">
        <v>60</v>
      </c>
      <c r="I70" s="68" t="n">
        <f aca="false">F70+H70</f>
        <v>46231</v>
      </c>
      <c r="J70" s="75" t="n">
        <v>6</v>
      </c>
      <c r="K70" s="34" t="s">
        <v>227</v>
      </c>
      <c r="L70" s="73"/>
      <c r="M70" s="76" t="s">
        <v>228</v>
      </c>
      <c r="N70" s="77" t="n">
        <f aca="false">IF(AND($M70="Y",Assumptions!$B$10=1),Assumptions!$B$53,IF($L70&gt;0,$L70+Scenarios!$F$9,$I70+$J70+IF($I70&gt;Assumptions!$B$5,Scenarios!$F$8,0)))</f>
        <v>46237</v>
      </c>
      <c r="O70" s="67" t="n">
        <f aca="false">IF(AND($M70="Y",Assumptions!$B$10=1),$G70*(1-Assumptions!$B$52),$G70)</f>
        <v>96.5</v>
      </c>
      <c r="P70" s="72" t="str">
        <f aca="false">IF(AND($M70="Y",Assumptions!$B$10=1),"Invoice factoring - advance received",$D70)</f>
        <v>Collections - industrial OEM</v>
      </c>
      <c r="Q70" s="34" t="str">
        <f aca="false">IF(AND($M70="Y",Assumptions!$B$10=1),"Fixed",IF($L70&gt;0,"Fixed",IF($I70&gt;Assumptions!$B$5,"Trade","Fixed")))</f>
        <v>Trade</v>
      </c>
      <c r="R70" s="78" t="s">
        <v>231</v>
      </c>
    </row>
    <row r="71" customFormat="false" ht="12.75" hidden="false" customHeight="true" outlineLevel="0" collapsed="false">
      <c r="A71" s="49"/>
      <c r="B71" s="70" t="s">
        <v>175</v>
      </c>
      <c r="C71" s="71" t="s">
        <v>176</v>
      </c>
      <c r="D71" s="72" t="s">
        <v>112</v>
      </c>
      <c r="E71" s="49" t="s">
        <v>277</v>
      </c>
      <c r="F71" s="73" t="n">
        <v>46178</v>
      </c>
      <c r="G71" s="74" t="n">
        <f aca="false">ROUND(Assumptions!$B$25*0.97*$F$9,1)</f>
        <v>90.9</v>
      </c>
      <c r="H71" s="75" t="n">
        <v>60</v>
      </c>
      <c r="I71" s="68" t="n">
        <f aca="false">F71+H71</f>
        <v>46238</v>
      </c>
      <c r="J71" s="75" t="n">
        <v>6</v>
      </c>
      <c r="K71" s="34" t="s">
        <v>227</v>
      </c>
      <c r="L71" s="73"/>
      <c r="M71" s="76" t="s">
        <v>228</v>
      </c>
      <c r="N71" s="77" t="n">
        <f aca="false">IF(AND($M71="Y",Assumptions!$B$10=1),Assumptions!$B$53,IF($L71&gt;0,$L71+Scenarios!$F$9,$I71+$J71+IF($I71&gt;Assumptions!$B$5,Scenarios!$F$8,0)))</f>
        <v>46244</v>
      </c>
      <c r="O71" s="67" t="n">
        <f aca="false">IF(AND($M71="Y",Assumptions!$B$10=1),$G71*(1-Assumptions!$B$52),$G71)</f>
        <v>90.9</v>
      </c>
      <c r="P71" s="72" t="str">
        <f aca="false">IF(AND($M71="Y",Assumptions!$B$10=1),"Invoice factoring - advance received",$D71)</f>
        <v>Collections - industrial OEM</v>
      </c>
      <c r="Q71" s="34" t="str">
        <f aca="false">IF(AND($M71="Y",Assumptions!$B$10=1),"Fixed",IF($L71&gt;0,"Fixed",IF($I71&gt;Assumptions!$B$5,"Trade","Fixed")))</f>
        <v>Trade</v>
      </c>
      <c r="R71" s="78" t="s">
        <v>233</v>
      </c>
    </row>
    <row r="72" customFormat="false" ht="12.75" hidden="false" customHeight="true" outlineLevel="0" collapsed="false">
      <c r="A72" s="49"/>
      <c r="B72" s="70" t="s">
        <v>175</v>
      </c>
      <c r="C72" s="71" t="s">
        <v>176</v>
      </c>
      <c r="D72" s="72" t="s">
        <v>112</v>
      </c>
      <c r="E72" s="49" t="s">
        <v>278</v>
      </c>
      <c r="F72" s="73" t="n">
        <v>46185</v>
      </c>
      <c r="G72" s="74" t="n">
        <f aca="false">ROUND(Assumptions!$B$25*1.05*$F$9,1)</f>
        <v>98.4</v>
      </c>
      <c r="H72" s="75" t="n">
        <v>60</v>
      </c>
      <c r="I72" s="68" t="n">
        <f aca="false">F72+H72</f>
        <v>46245</v>
      </c>
      <c r="J72" s="75" t="n">
        <v>6</v>
      </c>
      <c r="K72" s="34" t="s">
        <v>227</v>
      </c>
      <c r="L72" s="73"/>
      <c r="M72" s="76" t="s">
        <v>228</v>
      </c>
      <c r="N72" s="77" t="n">
        <f aca="false">IF(AND($M72="Y",Assumptions!$B$10=1),Assumptions!$B$53,IF($L72&gt;0,$L72+Scenarios!$F$9,$I72+$J72+IF($I72&gt;Assumptions!$B$5,Scenarios!$F$8,0)))</f>
        <v>46251</v>
      </c>
      <c r="O72" s="67" t="n">
        <f aca="false">IF(AND($M72="Y",Assumptions!$B$10=1),$G72*(1-Assumptions!$B$52),$G72)</f>
        <v>98.4</v>
      </c>
      <c r="P72" s="72" t="str">
        <f aca="false">IF(AND($M72="Y",Assumptions!$B$10=1),"Invoice factoring - advance received",$D72)</f>
        <v>Collections - industrial OEM</v>
      </c>
      <c r="Q72" s="34" t="str">
        <f aca="false">IF(AND($M72="Y",Assumptions!$B$10=1),"Fixed",IF($L72&gt;0,"Fixed",IF($I72&gt;Assumptions!$B$5,"Trade","Fixed")))</f>
        <v>Trade</v>
      </c>
      <c r="R72" s="78" t="s">
        <v>235</v>
      </c>
    </row>
    <row r="73" customFormat="false" ht="12.75" hidden="false" customHeight="true" outlineLevel="0" collapsed="false">
      <c r="A73" s="49"/>
      <c r="B73" s="70" t="s">
        <v>175</v>
      </c>
      <c r="C73" s="71" t="s">
        <v>176</v>
      </c>
      <c r="D73" s="72" t="s">
        <v>112</v>
      </c>
      <c r="E73" s="49" t="s">
        <v>279</v>
      </c>
      <c r="F73" s="73" t="n">
        <v>46192</v>
      </c>
      <c r="G73" s="74" t="n">
        <f aca="false">ROUND(Assumptions!$B$25*0.99*$F$9,1)</f>
        <v>92.8</v>
      </c>
      <c r="H73" s="75" t="n">
        <v>60</v>
      </c>
      <c r="I73" s="68" t="n">
        <f aca="false">F73+H73</f>
        <v>46252</v>
      </c>
      <c r="J73" s="75" t="n">
        <v>6</v>
      </c>
      <c r="K73" s="34" t="s">
        <v>227</v>
      </c>
      <c r="L73" s="73"/>
      <c r="M73" s="76" t="s">
        <v>228</v>
      </c>
      <c r="N73" s="77" t="n">
        <f aca="false">IF(AND($M73="Y",Assumptions!$B$10=1),Assumptions!$B$53,IF($L73&gt;0,$L73+Scenarios!$F$9,$I73+$J73+IF($I73&gt;Assumptions!$B$5,Scenarios!$F$8,0)))</f>
        <v>46258</v>
      </c>
      <c r="O73" s="67" t="n">
        <f aca="false">IF(AND($M73="Y",Assumptions!$B$10=1),$G73*(1-Assumptions!$B$52),$G73)</f>
        <v>92.8</v>
      </c>
      <c r="P73" s="72" t="str">
        <f aca="false">IF(AND($M73="Y",Assumptions!$B$10=1),"Invoice factoring - advance received",$D73)</f>
        <v>Collections - industrial OEM</v>
      </c>
      <c r="Q73" s="34" t="str">
        <f aca="false">IF(AND($M73="Y",Assumptions!$B$10=1),"Fixed",IF($L73&gt;0,"Fixed",IF($I73&gt;Assumptions!$B$5,"Trade","Fixed")))</f>
        <v>Trade</v>
      </c>
      <c r="R73" s="78" t="s">
        <v>237</v>
      </c>
    </row>
    <row r="74" customFormat="false" ht="12.75" hidden="false" customHeight="true" outlineLevel="0" collapsed="false">
      <c r="A74" s="49"/>
      <c r="B74" s="70" t="s">
        <v>175</v>
      </c>
      <c r="C74" s="71" t="s">
        <v>176</v>
      </c>
      <c r="D74" s="72" t="s">
        <v>112</v>
      </c>
      <c r="E74" s="49" t="s">
        <v>280</v>
      </c>
      <c r="F74" s="73" t="n">
        <v>46199</v>
      </c>
      <c r="G74" s="74" t="n">
        <f aca="false">ROUND(Assumptions!$B$25*1.02*$F$9,1)</f>
        <v>95.6</v>
      </c>
      <c r="H74" s="75" t="n">
        <v>60</v>
      </c>
      <c r="I74" s="68" t="n">
        <f aca="false">F74+H74</f>
        <v>46259</v>
      </c>
      <c r="J74" s="75" t="n">
        <v>6</v>
      </c>
      <c r="K74" s="34" t="s">
        <v>227</v>
      </c>
      <c r="L74" s="73"/>
      <c r="M74" s="76" t="s">
        <v>228</v>
      </c>
      <c r="N74" s="77" t="n">
        <f aca="false">IF(AND($M74="Y",Assumptions!$B$10=1),Assumptions!$B$53,IF($L74&gt;0,$L74+Scenarios!$F$9,$I74+$J74+IF($I74&gt;Assumptions!$B$5,Scenarios!$F$8,0)))</f>
        <v>46265</v>
      </c>
      <c r="O74" s="67" t="n">
        <f aca="false">IF(AND($M74="Y",Assumptions!$B$10=1),$G74*(1-Assumptions!$B$52),$G74)</f>
        <v>95.6</v>
      </c>
      <c r="P74" s="72" t="str">
        <f aca="false">IF(AND($M74="Y",Assumptions!$B$10=1),"Invoice factoring - advance received",$D74)</f>
        <v>Collections - industrial OEM</v>
      </c>
      <c r="Q74" s="34" t="str">
        <f aca="false">IF(AND($M74="Y",Assumptions!$B$10=1),"Fixed",IF($L74&gt;0,"Fixed",IF($I74&gt;Assumptions!$B$5,"Trade","Fixed")))</f>
        <v>Trade</v>
      </c>
      <c r="R74" s="78" t="s">
        <v>239</v>
      </c>
    </row>
    <row r="75" customFormat="false" ht="12.75" hidden="false" customHeight="true" outlineLevel="0" collapsed="false">
      <c r="A75" s="49"/>
      <c r="B75" s="70" t="s">
        <v>175</v>
      </c>
      <c r="C75" s="71" t="s">
        <v>176</v>
      </c>
      <c r="D75" s="72" t="s">
        <v>112</v>
      </c>
      <c r="E75" s="49" t="s">
        <v>281</v>
      </c>
      <c r="F75" s="73" t="n">
        <v>46206</v>
      </c>
      <c r="G75" s="74" t="n">
        <f aca="false">ROUND(Assumptions!$B$25*0.96*$F$9,1)</f>
        <v>89.9</v>
      </c>
      <c r="H75" s="75" t="n">
        <v>60</v>
      </c>
      <c r="I75" s="68" t="n">
        <f aca="false">F75+H75</f>
        <v>46266</v>
      </c>
      <c r="J75" s="75" t="n">
        <v>6</v>
      </c>
      <c r="K75" s="34" t="s">
        <v>227</v>
      </c>
      <c r="L75" s="73"/>
      <c r="M75" s="76" t="s">
        <v>228</v>
      </c>
      <c r="N75" s="77" t="n">
        <f aca="false">IF(AND($M75="Y",Assumptions!$B$10=1),Assumptions!$B$53,IF($L75&gt;0,$L75+Scenarios!$F$9,$I75+$J75+IF($I75&gt;Assumptions!$B$5,Scenarios!$F$8,0)))</f>
        <v>46272</v>
      </c>
      <c r="O75" s="67" t="n">
        <f aca="false">IF(AND($M75="Y",Assumptions!$B$10=1),$G75*(1-Assumptions!$B$52),$G75)</f>
        <v>89.9</v>
      </c>
      <c r="P75" s="72" t="str">
        <f aca="false">IF(AND($M75="Y",Assumptions!$B$10=1),"Invoice factoring - advance received",$D75)</f>
        <v>Collections - industrial OEM</v>
      </c>
      <c r="Q75" s="34" t="str">
        <f aca="false">IF(AND($M75="Y",Assumptions!$B$10=1),"Fixed",IF($L75&gt;0,"Fixed",IF($I75&gt;Assumptions!$B$5,"Trade","Fixed")))</f>
        <v>Trade</v>
      </c>
      <c r="R75" s="78" t="s">
        <v>241</v>
      </c>
    </row>
    <row r="76" customFormat="false" ht="12.75" hidden="false" customHeight="true" outlineLevel="0" collapsed="false">
      <c r="A76" s="49"/>
      <c r="B76" s="70" t="s">
        <v>175</v>
      </c>
      <c r="C76" s="71" t="s">
        <v>176</v>
      </c>
      <c r="D76" s="72" t="s">
        <v>112</v>
      </c>
      <c r="E76" s="49" t="s">
        <v>282</v>
      </c>
      <c r="F76" s="73" t="n">
        <v>46213</v>
      </c>
      <c r="G76" s="74" t="n">
        <f aca="false">ROUND(Assumptions!$B$25*1.04*$F$9,1)</f>
        <v>97.4</v>
      </c>
      <c r="H76" s="75" t="n">
        <v>60</v>
      </c>
      <c r="I76" s="68" t="n">
        <f aca="false">F76+H76</f>
        <v>46273</v>
      </c>
      <c r="J76" s="75" t="n">
        <v>6</v>
      </c>
      <c r="K76" s="34" t="s">
        <v>227</v>
      </c>
      <c r="L76" s="73"/>
      <c r="M76" s="76" t="s">
        <v>228</v>
      </c>
      <c r="N76" s="77" t="n">
        <f aca="false">IF(AND($M76="Y",Assumptions!$B$10=1),Assumptions!$B$53,IF($L76&gt;0,$L76+Scenarios!$F$9,$I76+$J76+IF($I76&gt;Assumptions!$B$5,Scenarios!$F$8,0)))</f>
        <v>46279</v>
      </c>
      <c r="O76" s="67" t="n">
        <f aca="false">IF(AND($M76="Y",Assumptions!$B$10=1),$G76*(1-Assumptions!$B$52),$G76)</f>
        <v>97.4</v>
      </c>
      <c r="P76" s="72" t="str">
        <f aca="false">IF(AND($M76="Y",Assumptions!$B$10=1),"Invoice factoring - advance received",$D76)</f>
        <v>Collections - industrial OEM</v>
      </c>
      <c r="Q76" s="34" t="str">
        <f aca="false">IF(AND($M76="Y",Assumptions!$B$10=1),"Fixed",IF($L76&gt;0,"Fixed",IF($I76&gt;Assumptions!$B$5,"Trade","Fixed")))</f>
        <v>Trade</v>
      </c>
      <c r="R76" s="78" t="s">
        <v>259</v>
      </c>
    </row>
    <row r="77" customFormat="false" ht="12.75" hidden="false" customHeight="true" outlineLevel="0" collapsed="false">
      <c r="A77" s="49"/>
      <c r="B77" s="70" t="s">
        <v>175</v>
      </c>
      <c r="C77" s="71" t="s">
        <v>176</v>
      </c>
      <c r="D77" s="72" t="s">
        <v>112</v>
      </c>
      <c r="E77" s="49" t="s">
        <v>283</v>
      </c>
      <c r="F77" s="73" t="n">
        <v>46220</v>
      </c>
      <c r="G77" s="74" t="n">
        <f aca="false">ROUND(Assumptions!$B$25*1.01*$F$9,1)</f>
        <v>94.6</v>
      </c>
      <c r="H77" s="75" t="n">
        <v>60</v>
      </c>
      <c r="I77" s="68" t="n">
        <f aca="false">F77+H77</f>
        <v>46280</v>
      </c>
      <c r="J77" s="75" t="n">
        <v>6</v>
      </c>
      <c r="K77" s="34" t="s">
        <v>227</v>
      </c>
      <c r="L77" s="73"/>
      <c r="M77" s="76" t="s">
        <v>228</v>
      </c>
      <c r="N77" s="77" t="n">
        <f aca="false">IF(AND($M77="Y",Assumptions!$B$10=1),Assumptions!$B$53,IF($L77&gt;0,$L77+Scenarios!$F$9,$I77+$J77+IF($I77&gt;Assumptions!$B$5,Scenarios!$F$8,0)))</f>
        <v>46286</v>
      </c>
      <c r="O77" s="67" t="n">
        <f aca="false">IF(AND($M77="Y",Assumptions!$B$10=1),$G77*(1-Assumptions!$B$52),$G77)</f>
        <v>94.6</v>
      </c>
      <c r="P77" s="72" t="str">
        <f aca="false">IF(AND($M77="Y",Assumptions!$B$10=1),"Invoice factoring - advance received",$D77)</f>
        <v>Collections - industrial OEM</v>
      </c>
      <c r="Q77" s="34" t="str">
        <f aca="false">IF(AND($M77="Y",Assumptions!$B$10=1),"Fixed",IF($L77&gt;0,"Fixed",IF($I77&gt;Assumptions!$B$5,"Trade","Fixed")))</f>
        <v>Trade</v>
      </c>
      <c r="R77" s="78" t="s">
        <v>261</v>
      </c>
    </row>
    <row r="78" customFormat="false" ht="12.75" hidden="false" customHeight="true" outlineLevel="0" collapsed="false">
      <c r="A78" s="49"/>
      <c r="B78" s="70" t="s">
        <v>175</v>
      </c>
      <c r="C78" s="71" t="s">
        <v>176</v>
      </c>
      <c r="D78" s="72" t="s">
        <v>112</v>
      </c>
      <c r="E78" s="49" t="s">
        <v>284</v>
      </c>
      <c r="F78" s="73" t="n">
        <v>46227</v>
      </c>
      <c r="G78" s="74" t="n">
        <f aca="false">ROUND(Assumptions!$B$25*0.98*$F$9,1)</f>
        <v>91.8</v>
      </c>
      <c r="H78" s="75" t="n">
        <v>60</v>
      </c>
      <c r="I78" s="68" t="n">
        <f aca="false">F78+H78</f>
        <v>46287</v>
      </c>
      <c r="J78" s="75" t="n">
        <v>6</v>
      </c>
      <c r="K78" s="34" t="s">
        <v>227</v>
      </c>
      <c r="L78" s="73"/>
      <c r="M78" s="76" t="s">
        <v>228</v>
      </c>
      <c r="N78" s="77" t="n">
        <f aca="false">IF(AND($M78="Y",Assumptions!$B$10=1),Assumptions!$B$53,IF($L78&gt;0,$L78+Scenarios!$F$9,$I78+$J78+IF($I78&gt;Assumptions!$B$5,Scenarios!$F$8,0)))</f>
        <v>46293</v>
      </c>
      <c r="O78" s="67" t="n">
        <f aca="false">IF(AND($M78="Y",Assumptions!$B$10=1),$G78*(1-Assumptions!$B$52),$G78)</f>
        <v>91.8</v>
      </c>
      <c r="P78" s="72" t="str">
        <f aca="false">IF(AND($M78="Y",Assumptions!$B$10=1),"Invoice factoring - advance received",$D78)</f>
        <v>Collections - industrial OEM</v>
      </c>
      <c r="Q78" s="34" t="str">
        <f aca="false">IF(AND($M78="Y",Assumptions!$B$10=1),"Fixed",IF($L78&gt;0,"Fixed",IF($I78&gt;Assumptions!$B$5,"Trade","Fixed")))</f>
        <v>Trade</v>
      </c>
      <c r="R78" s="78" t="s">
        <v>263</v>
      </c>
    </row>
    <row r="79" customFormat="false" ht="12.75" hidden="false" customHeight="true" outlineLevel="0" collapsed="false">
      <c r="A79" s="49"/>
      <c r="B79" s="70" t="s">
        <v>179</v>
      </c>
      <c r="C79" s="71" t="s">
        <v>180</v>
      </c>
      <c r="D79" s="72" t="s">
        <v>112</v>
      </c>
      <c r="E79" s="49" t="s">
        <v>285</v>
      </c>
      <c r="F79" s="73" t="n">
        <v>46185</v>
      </c>
      <c r="G79" s="74" t="n">
        <f aca="false">ROUND(Assumptions!$B$25*1*$F$10,1)</f>
        <v>53.5</v>
      </c>
      <c r="H79" s="75" t="n">
        <v>45</v>
      </c>
      <c r="I79" s="68" t="n">
        <f aca="false">F79+H79</f>
        <v>46230</v>
      </c>
      <c r="J79" s="75" t="n">
        <v>3</v>
      </c>
      <c r="K79" s="34" t="s">
        <v>227</v>
      </c>
      <c r="L79" s="73"/>
      <c r="M79" s="76" t="s">
        <v>228</v>
      </c>
      <c r="N79" s="77" t="n">
        <f aca="false">IF(AND($M79="Y",Assumptions!$B$10=1),Assumptions!$B$53,IF($L79&gt;0,$L79+Scenarios!$F$9,$I79+$J79+IF($I79&gt;Assumptions!$B$5,Scenarios!$F$8,0)))</f>
        <v>46233</v>
      </c>
      <c r="O79" s="67" t="n">
        <f aca="false">IF(AND($M79="Y",Assumptions!$B$10=1),$G79*(1-Assumptions!$B$52),$G79)</f>
        <v>53.5</v>
      </c>
      <c r="P79" s="72" t="str">
        <f aca="false">IF(AND($M79="Y",Assumptions!$B$10=1),"Invoice factoring - advance received",$D79)</f>
        <v>Collections - industrial OEM</v>
      </c>
      <c r="Q79" s="34" t="str">
        <f aca="false">IF(AND($M79="Y",Assumptions!$B$10=1),"Fixed",IF($L79&gt;0,"Fixed",IF($I79&gt;Assumptions!$B$5,"Trade","Fixed")))</f>
        <v>Trade</v>
      </c>
      <c r="R79" s="78" t="s">
        <v>229</v>
      </c>
    </row>
    <row r="80" customFormat="false" ht="12.75" hidden="false" customHeight="true" outlineLevel="0" collapsed="false">
      <c r="A80" s="49"/>
      <c r="B80" s="70" t="s">
        <v>179</v>
      </c>
      <c r="C80" s="71" t="s">
        <v>180</v>
      </c>
      <c r="D80" s="72" t="s">
        <v>112</v>
      </c>
      <c r="E80" s="49" t="s">
        <v>286</v>
      </c>
      <c r="F80" s="73" t="n">
        <v>46192</v>
      </c>
      <c r="G80" s="74" t="n">
        <f aca="false">ROUND(Assumptions!$B$25*1.03*$F$10,1)</f>
        <v>55.1</v>
      </c>
      <c r="H80" s="75" t="n">
        <v>45</v>
      </c>
      <c r="I80" s="68" t="n">
        <f aca="false">F80+H80</f>
        <v>46237</v>
      </c>
      <c r="J80" s="75" t="n">
        <v>3</v>
      </c>
      <c r="K80" s="34" t="s">
        <v>227</v>
      </c>
      <c r="L80" s="73"/>
      <c r="M80" s="76" t="s">
        <v>228</v>
      </c>
      <c r="N80" s="77" t="n">
        <f aca="false">IF(AND($M80="Y",Assumptions!$B$10=1),Assumptions!$B$53,IF($L80&gt;0,$L80+Scenarios!$F$9,$I80+$J80+IF($I80&gt;Assumptions!$B$5,Scenarios!$F$8,0)))</f>
        <v>46240</v>
      </c>
      <c r="O80" s="67" t="n">
        <f aca="false">IF(AND($M80="Y",Assumptions!$B$10=1),$G80*(1-Assumptions!$B$52),$G80)</f>
        <v>55.1</v>
      </c>
      <c r="P80" s="72" t="str">
        <f aca="false">IF(AND($M80="Y",Assumptions!$B$10=1),"Invoice factoring - advance received",$D80)</f>
        <v>Collections - industrial OEM</v>
      </c>
      <c r="Q80" s="34" t="str">
        <f aca="false">IF(AND($M80="Y",Assumptions!$B$10=1),"Fixed",IF($L80&gt;0,"Fixed",IF($I80&gt;Assumptions!$B$5,"Trade","Fixed")))</f>
        <v>Trade</v>
      </c>
      <c r="R80" s="78" t="s">
        <v>231</v>
      </c>
    </row>
    <row r="81" customFormat="false" ht="12.75" hidden="false" customHeight="true" outlineLevel="0" collapsed="false">
      <c r="A81" s="49"/>
      <c r="B81" s="70" t="s">
        <v>179</v>
      </c>
      <c r="C81" s="71" t="s">
        <v>180</v>
      </c>
      <c r="D81" s="72" t="s">
        <v>112</v>
      </c>
      <c r="E81" s="49" t="s">
        <v>287</v>
      </c>
      <c r="F81" s="73" t="n">
        <v>46199</v>
      </c>
      <c r="G81" s="74" t="n">
        <f aca="false">ROUND(Assumptions!$B$25*0.97*$F$10,1)</f>
        <v>51.9</v>
      </c>
      <c r="H81" s="75" t="n">
        <v>45</v>
      </c>
      <c r="I81" s="68" t="n">
        <f aca="false">F81+H81</f>
        <v>46244</v>
      </c>
      <c r="J81" s="75" t="n">
        <v>3</v>
      </c>
      <c r="K81" s="34" t="s">
        <v>227</v>
      </c>
      <c r="L81" s="73"/>
      <c r="M81" s="76" t="s">
        <v>228</v>
      </c>
      <c r="N81" s="77" t="n">
        <f aca="false">IF(AND($M81="Y",Assumptions!$B$10=1),Assumptions!$B$53,IF($L81&gt;0,$L81+Scenarios!$F$9,$I81+$J81+IF($I81&gt;Assumptions!$B$5,Scenarios!$F$8,0)))</f>
        <v>46247</v>
      </c>
      <c r="O81" s="67" t="n">
        <f aca="false">IF(AND($M81="Y",Assumptions!$B$10=1),$G81*(1-Assumptions!$B$52),$G81)</f>
        <v>51.9</v>
      </c>
      <c r="P81" s="72" t="str">
        <f aca="false">IF(AND($M81="Y",Assumptions!$B$10=1),"Invoice factoring - advance received",$D81)</f>
        <v>Collections - industrial OEM</v>
      </c>
      <c r="Q81" s="34" t="str">
        <f aca="false">IF(AND($M81="Y",Assumptions!$B$10=1),"Fixed",IF($L81&gt;0,"Fixed",IF($I81&gt;Assumptions!$B$5,"Trade","Fixed")))</f>
        <v>Trade</v>
      </c>
      <c r="R81" s="78" t="s">
        <v>233</v>
      </c>
    </row>
    <row r="82" customFormat="false" ht="12.75" hidden="false" customHeight="true" outlineLevel="0" collapsed="false">
      <c r="A82" s="49"/>
      <c r="B82" s="70" t="s">
        <v>179</v>
      </c>
      <c r="C82" s="71" t="s">
        <v>180</v>
      </c>
      <c r="D82" s="72" t="s">
        <v>112</v>
      </c>
      <c r="E82" s="49" t="s">
        <v>288</v>
      </c>
      <c r="F82" s="73" t="n">
        <v>46206</v>
      </c>
      <c r="G82" s="74" t="n">
        <f aca="false">ROUND(Assumptions!$B$25*1.05*$F$10,1)</f>
        <v>56.2</v>
      </c>
      <c r="H82" s="75" t="n">
        <v>45</v>
      </c>
      <c r="I82" s="68" t="n">
        <f aca="false">F82+H82</f>
        <v>46251</v>
      </c>
      <c r="J82" s="75" t="n">
        <v>3</v>
      </c>
      <c r="K82" s="34" t="s">
        <v>227</v>
      </c>
      <c r="L82" s="73"/>
      <c r="M82" s="76" t="s">
        <v>228</v>
      </c>
      <c r="N82" s="77" t="n">
        <f aca="false">IF(AND($M82="Y",Assumptions!$B$10=1),Assumptions!$B$53,IF($L82&gt;0,$L82+Scenarios!$F$9,$I82+$J82+IF($I82&gt;Assumptions!$B$5,Scenarios!$F$8,0)))</f>
        <v>46254</v>
      </c>
      <c r="O82" s="67" t="n">
        <f aca="false">IF(AND($M82="Y",Assumptions!$B$10=1),$G82*(1-Assumptions!$B$52),$G82)</f>
        <v>56.2</v>
      </c>
      <c r="P82" s="72" t="str">
        <f aca="false">IF(AND($M82="Y",Assumptions!$B$10=1),"Invoice factoring - advance received",$D82)</f>
        <v>Collections - industrial OEM</v>
      </c>
      <c r="Q82" s="34" t="str">
        <f aca="false">IF(AND($M82="Y",Assumptions!$B$10=1),"Fixed",IF($L82&gt;0,"Fixed",IF($I82&gt;Assumptions!$B$5,"Trade","Fixed")))</f>
        <v>Trade</v>
      </c>
      <c r="R82" s="78" t="s">
        <v>235</v>
      </c>
    </row>
    <row r="83" customFormat="false" ht="12.75" hidden="false" customHeight="true" outlineLevel="0" collapsed="false">
      <c r="A83" s="49"/>
      <c r="B83" s="70" t="s">
        <v>179</v>
      </c>
      <c r="C83" s="71" t="s">
        <v>180</v>
      </c>
      <c r="D83" s="72" t="s">
        <v>112</v>
      </c>
      <c r="E83" s="49" t="s">
        <v>289</v>
      </c>
      <c r="F83" s="73" t="n">
        <v>46213</v>
      </c>
      <c r="G83" s="74" t="n">
        <f aca="false">ROUND(Assumptions!$B$25*0.99*$F$10,1)</f>
        <v>53</v>
      </c>
      <c r="H83" s="75" t="n">
        <v>45</v>
      </c>
      <c r="I83" s="68" t="n">
        <f aca="false">F83+H83</f>
        <v>46258</v>
      </c>
      <c r="J83" s="75" t="n">
        <v>3</v>
      </c>
      <c r="K83" s="34" t="s">
        <v>227</v>
      </c>
      <c r="L83" s="73"/>
      <c r="M83" s="76" t="s">
        <v>228</v>
      </c>
      <c r="N83" s="77" t="n">
        <f aca="false">IF(AND($M83="Y",Assumptions!$B$10=1),Assumptions!$B$53,IF($L83&gt;0,$L83+Scenarios!$F$9,$I83+$J83+IF($I83&gt;Assumptions!$B$5,Scenarios!$F$8,0)))</f>
        <v>46261</v>
      </c>
      <c r="O83" s="67" t="n">
        <f aca="false">IF(AND($M83="Y",Assumptions!$B$10=1),$G83*(1-Assumptions!$B$52),$G83)</f>
        <v>53</v>
      </c>
      <c r="P83" s="72" t="str">
        <f aca="false">IF(AND($M83="Y",Assumptions!$B$10=1),"Invoice factoring - advance received",$D83)</f>
        <v>Collections - industrial OEM</v>
      </c>
      <c r="Q83" s="34" t="str">
        <f aca="false">IF(AND($M83="Y",Assumptions!$B$10=1),"Fixed",IF($L83&gt;0,"Fixed",IF($I83&gt;Assumptions!$B$5,"Trade","Fixed")))</f>
        <v>Trade</v>
      </c>
      <c r="R83" s="78" t="s">
        <v>237</v>
      </c>
    </row>
    <row r="84" customFormat="false" ht="12.75" hidden="false" customHeight="true" outlineLevel="0" collapsed="false">
      <c r="A84" s="49"/>
      <c r="B84" s="70" t="s">
        <v>179</v>
      </c>
      <c r="C84" s="71" t="s">
        <v>180</v>
      </c>
      <c r="D84" s="72" t="s">
        <v>112</v>
      </c>
      <c r="E84" s="49" t="s">
        <v>290</v>
      </c>
      <c r="F84" s="73" t="n">
        <v>46220</v>
      </c>
      <c r="G84" s="74" t="n">
        <f aca="false">ROUND(Assumptions!$B$25*1.02*$F$10,1)</f>
        <v>54.6</v>
      </c>
      <c r="H84" s="75" t="n">
        <v>45</v>
      </c>
      <c r="I84" s="68" t="n">
        <f aca="false">F84+H84</f>
        <v>46265</v>
      </c>
      <c r="J84" s="75" t="n">
        <v>3</v>
      </c>
      <c r="K84" s="34" t="s">
        <v>227</v>
      </c>
      <c r="L84" s="73"/>
      <c r="M84" s="76" t="s">
        <v>228</v>
      </c>
      <c r="N84" s="77" t="n">
        <f aca="false">IF(AND($M84="Y",Assumptions!$B$10=1),Assumptions!$B$53,IF($L84&gt;0,$L84+Scenarios!$F$9,$I84+$J84+IF($I84&gt;Assumptions!$B$5,Scenarios!$F$8,0)))</f>
        <v>46268</v>
      </c>
      <c r="O84" s="67" t="n">
        <f aca="false">IF(AND($M84="Y",Assumptions!$B$10=1),$G84*(1-Assumptions!$B$52),$G84)</f>
        <v>54.6</v>
      </c>
      <c r="P84" s="72" t="str">
        <f aca="false">IF(AND($M84="Y",Assumptions!$B$10=1),"Invoice factoring - advance received",$D84)</f>
        <v>Collections - industrial OEM</v>
      </c>
      <c r="Q84" s="34" t="str">
        <f aca="false">IF(AND($M84="Y",Assumptions!$B$10=1),"Fixed",IF($L84&gt;0,"Fixed",IF($I84&gt;Assumptions!$B$5,"Trade","Fixed")))</f>
        <v>Trade</v>
      </c>
      <c r="R84" s="78" t="s">
        <v>239</v>
      </c>
    </row>
    <row r="85" customFormat="false" ht="12.75" hidden="false" customHeight="true" outlineLevel="0" collapsed="false">
      <c r="A85" s="49"/>
      <c r="B85" s="70" t="s">
        <v>179</v>
      </c>
      <c r="C85" s="71" t="s">
        <v>180</v>
      </c>
      <c r="D85" s="72" t="s">
        <v>112</v>
      </c>
      <c r="E85" s="49" t="s">
        <v>291</v>
      </c>
      <c r="F85" s="73" t="n">
        <v>46227</v>
      </c>
      <c r="G85" s="74" t="n">
        <f aca="false">ROUND(Assumptions!$B$25*0.96*$F$10,1)</f>
        <v>51.4</v>
      </c>
      <c r="H85" s="75" t="n">
        <v>45</v>
      </c>
      <c r="I85" s="68" t="n">
        <f aca="false">F85+H85</f>
        <v>46272</v>
      </c>
      <c r="J85" s="75" t="n">
        <v>3</v>
      </c>
      <c r="K85" s="34" t="s">
        <v>227</v>
      </c>
      <c r="L85" s="73"/>
      <c r="M85" s="76" t="s">
        <v>228</v>
      </c>
      <c r="N85" s="77" t="n">
        <f aca="false">IF(AND($M85="Y",Assumptions!$B$10=1),Assumptions!$B$53,IF($L85&gt;0,$L85+Scenarios!$F$9,$I85+$J85+IF($I85&gt;Assumptions!$B$5,Scenarios!$F$8,0)))</f>
        <v>46275</v>
      </c>
      <c r="O85" s="67" t="n">
        <f aca="false">IF(AND($M85="Y",Assumptions!$B$10=1),$G85*(1-Assumptions!$B$52),$G85)</f>
        <v>51.4</v>
      </c>
      <c r="P85" s="72" t="str">
        <f aca="false">IF(AND($M85="Y",Assumptions!$B$10=1),"Invoice factoring - advance received",$D85)</f>
        <v>Collections - industrial OEM</v>
      </c>
      <c r="Q85" s="34" t="str">
        <f aca="false">IF(AND($M85="Y",Assumptions!$B$10=1),"Fixed",IF($L85&gt;0,"Fixed",IF($I85&gt;Assumptions!$B$5,"Trade","Fixed")))</f>
        <v>Trade</v>
      </c>
      <c r="R85" s="78" t="s">
        <v>241</v>
      </c>
    </row>
    <row r="86" customFormat="false" ht="12.75" hidden="false" customHeight="true" outlineLevel="0" collapsed="false">
      <c r="A86" s="49"/>
      <c r="B86" s="70" t="s">
        <v>182</v>
      </c>
      <c r="C86" s="71" t="s">
        <v>167</v>
      </c>
      <c r="D86" s="72" t="s">
        <v>112</v>
      </c>
      <c r="E86" s="49" t="s">
        <v>292</v>
      </c>
      <c r="F86" s="73" t="n">
        <v>46199</v>
      </c>
      <c r="G86" s="74" t="n">
        <f aca="false">ROUND(Assumptions!$B$25*1*$F$11,1)</f>
        <v>46.8</v>
      </c>
      <c r="H86" s="75" t="n">
        <v>30</v>
      </c>
      <c r="I86" s="68" t="n">
        <f aca="false">F86+H86</f>
        <v>46229</v>
      </c>
      <c r="J86" s="75" t="n">
        <v>1</v>
      </c>
      <c r="K86" s="34" t="s">
        <v>227</v>
      </c>
      <c r="L86" s="73"/>
      <c r="M86" s="76" t="s">
        <v>228</v>
      </c>
      <c r="N86" s="77" t="n">
        <f aca="false">IF(AND($M86="Y",Assumptions!$B$10=1),Assumptions!$B$53,IF($L86&gt;0,$L86+Scenarios!$F$9,$I86+$J86+IF($I86&gt;Assumptions!$B$5,Scenarios!$F$8,0)))</f>
        <v>46230</v>
      </c>
      <c r="O86" s="67" t="n">
        <f aca="false">IF(AND($M86="Y",Assumptions!$B$10=1),$G86*(1-Assumptions!$B$52),$G86)</f>
        <v>46.8</v>
      </c>
      <c r="P86" s="72" t="str">
        <f aca="false">IF(AND($M86="Y",Assumptions!$B$10=1),"Invoice factoring - advance received",$D86)</f>
        <v>Collections - industrial OEM</v>
      </c>
      <c r="Q86" s="34" t="str">
        <f aca="false">IF(AND($M86="Y",Assumptions!$B$10=1),"Fixed",IF($L86&gt;0,"Fixed",IF($I86&gt;Assumptions!$B$5,"Trade","Fixed")))</f>
        <v>Trade</v>
      </c>
      <c r="R86" s="78" t="s">
        <v>229</v>
      </c>
    </row>
    <row r="87" customFormat="false" ht="12.75" hidden="false" customHeight="true" outlineLevel="0" collapsed="false">
      <c r="A87" s="49"/>
      <c r="B87" s="70" t="s">
        <v>182</v>
      </c>
      <c r="C87" s="71" t="s">
        <v>167</v>
      </c>
      <c r="D87" s="72" t="s">
        <v>112</v>
      </c>
      <c r="E87" s="49" t="s">
        <v>293</v>
      </c>
      <c r="F87" s="73" t="n">
        <v>46206</v>
      </c>
      <c r="G87" s="74" t="n">
        <f aca="false">ROUND(Assumptions!$B$25*1.03*$F$11,1)</f>
        <v>48.3</v>
      </c>
      <c r="H87" s="75" t="n">
        <v>30</v>
      </c>
      <c r="I87" s="68" t="n">
        <f aca="false">F87+H87</f>
        <v>46236</v>
      </c>
      <c r="J87" s="75" t="n">
        <v>1</v>
      </c>
      <c r="K87" s="34" t="s">
        <v>227</v>
      </c>
      <c r="L87" s="73"/>
      <c r="M87" s="76" t="s">
        <v>228</v>
      </c>
      <c r="N87" s="77" t="n">
        <f aca="false">IF(AND($M87="Y",Assumptions!$B$10=1),Assumptions!$B$53,IF($L87&gt;0,$L87+Scenarios!$F$9,$I87+$J87+IF($I87&gt;Assumptions!$B$5,Scenarios!$F$8,0)))</f>
        <v>46237</v>
      </c>
      <c r="O87" s="67" t="n">
        <f aca="false">IF(AND($M87="Y",Assumptions!$B$10=1),$G87*(1-Assumptions!$B$52),$G87)</f>
        <v>48.3</v>
      </c>
      <c r="P87" s="72" t="str">
        <f aca="false">IF(AND($M87="Y",Assumptions!$B$10=1),"Invoice factoring - advance received",$D87)</f>
        <v>Collections - industrial OEM</v>
      </c>
      <c r="Q87" s="34" t="str">
        <f aca="false">IF(AND($M87="Y",Assumptions!$B$10=1),"Fixed",IF($L87&gt;0,"Fixed",IF($I87&gt;Assumptions!$B$5,"Trade","Fixed")))</f>
        <v>Trade</v>
      </c>
      <c r="R87" s="78" t="s">
        <v>231</v>
      </c>
    </row>
    <row r="88" customFormat="false" ht="12.75" hidden="false" customHeight="true" outlineLevel="0" collapsed="false">
      <c r="A88" s="49"/>
      <c r="B88" s="70" t="s">
        <v>182</v>
      </c>
      <c r="C88" s="71" t="s">
        <v>167</v>
      </c>
      <c r="D88" s="72" t="s">
        <v>112</v>
      </c>
      <c r="E88" s="49" t="s">
        <v>294</v>
      </c>
      <c r="F88" s="73" t="n">
        <v>46213</v>
      </c>
      <c r="G88" s="74" t="n">
        <f aca="false">ROUND(Assumptions!$B$25*0.97*$F$11,1)</f>
        <v>45.4</v>
      </c>
      <c r="H88" s="75" t="n">
        <v>30</v>
      </c>
      <c r="I88" s="68" t="n">
        <f aca="false">F88+H88</f>
        <v>46243</v>
      </c>
      <c r="J88" s="75" t="n">
        <v>1</v>
      </c>
      <c r="K88" s="34" t="s">
        <v>227</v>
      </c>
      <c r="L88" s="73"/>
      <c r="M88" s="76" t="s">
        <v>228</v>
      </c>
      <c r="N88" s="77" t="n">
        <f aca="false">IF(AND($M88="Y",Assumptions!$B$10=1),Assumptions!$B$53,IF($L88&gt;0,$L88+Scenarios!$F$9,$I88+$J88+IF($I88&gt;Assumptions!$B$5,Scenarios!$F$8,0)))</f>
        <v>46244</v>
      </c>
      <c r="O88" s="67" t="n">
        <f aca="false">IF(AND($M88="Y",Assumptions!$B$10=1),$G88*(1-Assumptions!$B$52),$G88)</f>
        <v>45.4</v>
      </c>
      <c r="P88" s="72" t="str">
        <f aca="false">IF(AND($M88="Y",Assumptions!$B$10=1),"Invoice factoring - advance received",$D88)</f>
        <v>Collections - industrial OEM</v>
      </c>
      <c r="Q88" s="34" t="str">
        <f aca="false">IF(AND($M88="Y",Assumptions!$B$10=1),"Fixed",IF($L88&gt;0,"Fixed",IF($I88&gt;Assumptions!$B$5,"Trade","Fixed")))</f>
        <v>Trade</v>
      </c>
      <c r="R88" s="78" t="s">
        <v>233</v>
      </c>
    </row>
    <row r="89" customFormat="false" ht="12.75" hidden="false" customHeight="true" outlineLevel="0" collapsed="false">
      <c r="A89" s="49"/>
      <c r="B89" s="70" t="s">
        <v>182</v>
      </c>
      <c r="C89" s="71" t="s">
        <v>167</v>
      </c>
      <c r="D89" s="72" t="s">
        <v>112</v>
      </c>
      <c r="E89" s="49" t="s">
        <v>295</v>
      </c>
      <c r="F89" s="73" t="n">
        <v>46220</v>
      </c>
      <c r="G89" s="74" t="n">
        <f aca="false">ROUND(Assumptions!$B$25*1.05*$F$11,1)</f>
        <v>49.2</v>
      </c>
      <c r="H89" s="75" t="n">
        <v>30</v>
      </c>
      <c r="I89" s="68" t="n">
        <f aca="false">F89+H89</f>
        <v>46250</v>
      </c>
      <c r="J89" s="75" t="n">
        <v>1</v>
      </c>
      <c r="K89" s="34" t="s">
        <v>227</v>
      </c>
      <c r="L89" s="73"/>
      <c r="M89" s="76" t="s">
        <v>228</v>
      </c>
      <c r="N89" s="77" t="n">
        <f aca="false">IF(AND($M89="Y",Assumptions!$B$10=1),Assumptions!$B$53,IF($L89&gt;0,$L89+Scenarios!$F$9,$I89+$J89+IF($I89&gt;Assumptions!$B$5,Scenarios!$F$8,0)))</f>
        <v>46251</v>
      </c>
      <c r="O89" s="67" t="n">
        <f aca="false">IF(AND($M89="Y",Assumptions!$B$10=1),$G89*(1-Assumptions!$B$52),$G89)</f>
        <v>49.2</v>
      </c>
      <c r="P89" s="72" t="str">
        <f aca="false">IF(AND($M89="Y",Assumptions!$B$10=1),"Invoice factoring - advance received",$D89)</f>
        <v>Collections - industrial OEM</v>
      </c>
      <c r="Q89" s="34" t="str">
        <f aca="false">IF(AND($M89="Y",Assumptions!$B$10=1),"Fixed",IF($L89&gt;0,"Fixed",IF($I89&gt;Assumptions!$B$5,"Trade","Fixed")))</f>
        <v>Trade</v>
      </c>
      <c r="R89" s="78" t="s">
        <v>235</v>
      </c>
    </row>
    <row r="90" customFormat="false" ht="12.75" hidden="false" customHeight="true" outlineLevel="0" collapsed="false">
      <c r="A90" s="49"/>
      <c r="B90" s="70" t="s">
        <v>182</v>
      </c>
      <c r="C90" s="71" t="s">
        <v>167</v>
      </c>
      <c r="D90" s="72" t="s">
        <v>112</v>
      </c>
      <c r="E90" s="49" t="s">
        <v>296</v>
      </c>
      <c r="F90" s="73" t="n">
        <v>46227</v>
      </c>
      <c r="G90" s="74" t="n">
        <f aca="false">ROUND(Assumptions!$B$25*0.99*$F$11,1)</f>
        <v>46.4</v>
      </c>
      <c r="H90" s="75" t="n">
        <v>30</v>
      </c>
      <c r="I90" s="68" t="n">
        <f aca="false">F90+H90</f>
        <v>46257</v>
      </c>
      <c r="J90" s="75" t="n">
        <v>1</v>
      </c>
      <c r="K90" s="34" t="s">
        <v>227</v>
      </c>
      <c r="L90" s="73"/>
      <c r="M90" s="76" t="s">
        <v>228</v>
      </c>
      <c r="N90" s="77" t="n">
        <f aca="false">IF(AND($M90="Y",Assumptions!$B$10=1),Assumptions!$B$53,IF($L90&gt;0,$L90+Scenarios!$F$9,$I90+$J90+IF($I90&gt;Assumptions!$B$5,Scenarios!$F$8,0)))</f>
        <v>46258</v>
      </c>
      <c r="O90" s="67" t="n">
        <f aca="false">IF(AND($M90="Y",Assumptions!$B$10=1),$G90*(1-Assumptions!$B$52),$G90)</f>
        <v>46.4</v>
      </c>
      <c r="P90" s="72" t="str">
        <f aca="false">IF(AND($M90="Y",Assumptions!$B$10=1),"Invoice factoring - advance received",$D90)</f>
        <v>Collections - industrial OEM</v>
      </c>
      <c r="Q90" s="34" t="str">
        <f aca="false">IF(AND($M90="Y",Assumptions!$B$10=1),"Fixed",IF($L90&gt;0,"Fixed",IF($I90&gt;Assumptions!$B$5,"Trade","Fixed")))</f>
        <v>Trade</v>
      </c>
      <c r="R90" s="78" t="s">
        <v>237</v>
      </c>
    </row>
    <row r="91" customFormat="false" ht="12.75" hidden="false" customHeight="true" outlineLevel="0" collapsed="false">
      <c r="A91" s="49"/>
      <c r="B91" s="70" t="s">
        <v>184</v>
      </c>
      <c r="C91" s="71" t="s">
        <v>185</v>
      </c>
      <c r="D91" s="72" t="s">
        <v>113</v>
      </c>
      <c r="E91" s="49" t="s">
        <v>297</v>
      </c>
      <c r="F91" s="73" t="n">
        <v>46192</v>
      </c>
      <c r="G91" s="74" t="n">
        <f aca="false">ROUND(Assumptions!$B$25*1*$F$12,1)</f>
        <v>26.8</v>
      </c>
      <c r="H91" s="75" t="n">
        <v>30</v>
      </c>
      <c r="I91" s="68" t="n">
        <f aca="false">F91+H91</f>
        <v>46222</v>
      </c>
      <c r="J91" s="75" t="n">
        <v>12</v>
      </c>
      <c r="K91" s="34" t="s">
        <v>227</v>
      </c>
      <c r="L91" s="73"/>
      <c r="M91" s="76" t="s">
        <v>228</v>
      </c>
      <c r="N91" s="77" t="n">
        <f aca="false">IF(AND($M91="Y",Assumptions!$B$10=1),Assumptions!$B$53,IF($L91&gt;0,$L91+Scenarios!$F$9,$I91+$J91+IF($I91&gt;Assumptions!$B$5,Scenarios!$F$8,0)))</f>
        <v>46234</v>
      </c>
      <c r="O91" s="67" t="n">
        <f aca="false">IF(AND($M91="Y",Assumptions!$B$10=1),$G91*(1-Assumptions!$B$52),$G91)</f>
        <v>26.8</v>
      </c>
      <c r="P91" s="72" t="str">
        <f aca="false">IF(AND($M91="Y",Assumptions!$B$10=1),"Invoice factoring - advance received",$D91)</f>
        <v>Collections - aftermarket &amp; distribution</v>
      </c>
      <c r="Q91" s="34" t="str">
        <f aca="false">IF(AND($M91="Y",Assumptions!$B$10=1),"Fixed",IF($L91&gt;0,"Fixed",IF($I91&gt;Assumptions!$B$5,"Trade","Fixed")))</f>
        <v>Fixed</v>
      </c>
      <c r="R91" s="78" t="s">
        <v>229</v>
      </c>
    </row>
    <row r="92" customFormat="false" ht="12.75" hidden="false" customHeight="true" outlineLevel="0" collapsed="false">
      <c r="A92" s="49"/>
      <c r="B92" s="70" t="s">
        <v>184</v>
      </c>
      <c r="C92" s="71" t="s">
        <v>185</v>
      </c>
      <c r="D92" s="72" t="s">
        <v>113</v>
      </c>
      <c r="E92" s="49" t="s">
        <v>298</v>
      </c>
      <c r="F92" s="73" t="n">
        <v>46199</v>
      </c>
      <c r="G92" s="74" t="n">
        <f aca="false">ROUND(Assumptions!$B$25*1.03*$F$12,1)</f>
        <v>27.6</v>
      </c>
      <c r="H92" s="75" t="n">
        <v>30</v>
      </c>
      <c r="I92" s="68" t="n">
        <f aca="false">F92+H92</f>
        <v>46229</v>
      </c>
      <c r="J92" s="75" t="n">
        <v>12</v>
      </c>
      <c r="K92" s="34" t="s">
        <v>227</v>
      </c>
      <c r="L92" s="73"/>
      <c r="M92" s="76" t="s">
        <v>228</v>
      </c>
      <c r="N92" s="77" t="n">
        <f aca="false">IF(AND($M92="Y",Assumptions!$B$10=1),Assumptions!$B$53,IF($L92&gt;0,$L92+Scenarios!$F$9,$I92+$J92+IF($I92&gt;Assumptions!$B$5,Scenarios!$F$8,0)))</f>
        <v>46241</v>
      </c>
      <c r="O92" s="67" t="n">
        <f aca="false">IF(AND($M92="Y",Assumptions!$B$10=1),$G92*(1-Assumptions!$B$52),$G92)</f>
        <v>27.6</v>
      </c>
      <c r="P92" s="72" t="str">
        <f aca="false">IF(AND($M92="Y",Assumptions!$B$10=1),"Invoice factoring - advance received",$D92)</f>
        <v>Collections - aftermarket &amp; distribution</v>
      </c>
      <c r="Q92" s="34" t="str">
        <f aca="false">IF(AND($M92="Y",Assumptions!$B$10=1),"Fixed",IF($L92&gt;0,"Fixed",IF($I92&gt;Assumptions!$B$5,"Trade","Fixed")))</f>
        <v>Trade</v>
      </c>
      <c r="R92" s="78" t="s">
        <v>231</v>
      </c>
    </row>
    <row r="93" customFormat="false" ht="12.75" hidden="false" customHeight="true" outlineLevel="0" collapsed="false">
      <c r="A93" s="49"/>
      <c r="B93" s="70" t="s">
        <v>184</v>
      </c>
      <c r="C93" s="71" t="s">
        <v>185</v>
      </c>
      <c r="D93" s="72" t="s">
        <v>113</v>
      </c>
      <c r="E93" s="49" t="s">
        <v>299</v>
      </c>
      <c r="F93" s="73" t="n">
        <v>46206</v>
      </c>
      <c r="G93" s="74" t="n">
        <f aca="false">ROUND(Assumptions!$B$25*0.97*$F$12,1)</f>
        <v>26</v>
      </c>
      <c r="H93" s="75" t="n">
        <v>30</v>
      </c>
      <c r="I93" s="68" t="n">
        <f aca="false">F93+H93</f>
        <v>46236</v>
      </c>
      <c r="J93" s="75" t="n">
        <v>12</v>
      </c>
      <c r="K93" s="34" t="s">
        <v>227</v>
      </c>
      <c r="L93" s="73"/>
      <c r="M93" s="76" t="s">
        <v>228</v>
      </c>
      <c r="N93" s="77" t="n">
        <f aca="false">IF(AND($M93="Y",Assumptions!$B$10=1),Assumptions!$B$53,IF($L93&gt;0,$L93+Scenarios!$F$9,$I93+$J93+IF($I93&gt;Assumptions!$B$5,Scenarios!$F$8,0)))</f>
        <v>46248</v>
      </c>
      <c r="O93" s="67" t="n">
        <f aca="false">IF(AND($M93="Y",Assumptions!$B$10=1),$G93*(1-Assumptions!$B$52),$G93)</f>
        <v>26</v>
      </c>
      <c r="P93" s="72" t="str">
        <f aca="false">IF(AND($M93="Y",Assumptions!$B$10=1),"Invoice factoring - advance received",$D93)</f>
        <v>Collections - aftermarket &amp; distribution</v>
      </c>
      <c r="Q93" s="34" t="str">
        <f aca="false">IF(AND($M93="Y",Assumptions!$B$10=1),"Fixed",IF($L93&gt;0,"Fixed",IF($I93&gt;Assumptions!$B$5,"Trade","Fixed")))</f>
        <v>Trade</v>
      </c>
      <c r="R93" s="78" t="s">
        <v>233</v>
      </c>
    </row>
    <row r="94" customFormat="false" ht="12.75" hidden="false" customHeight="true" outlineLevel="0" collapsed="false">
      <c r="A94" s="49"/>
      <c r="B94" s="70" t="s">
        <v>184</v>
      </c>
      <c r="C94" s="71" t="s">
        <v>185</v>
      </c>
      <c r="D94" s="72" t="s">
        <v>113</v>
      </c>
      <c r="E94" s="49" t="s">
        <v>300</v>
      </c>
      <c r="F94" s="73" t="n">
        <v>46213</v>
      </c>
      <c r="G94" s="74" t="n">
        <f aca="false">ROUND(Assumptions!$B$25*1.05*$F$12,1)</f>
        <v>28.1</v>
      </c>
      <c r="H94" s="75" t="n">
        <v>30</v>
      </c>
      <c r="I94" s="68" t="n">
        <f aca="false">F94+H94</f>
        <v>46243</v>
      </c>
      <c r="J94" s="75" t="n">
        <v>12</v>
      </c>
      <c r="K94" s="34" t="s">
        <v>227</v>
      </c>
      <c r="L94" s="73"/>
      <c r="M94" s="76" t="s">
        <v>228</v>
      </c>
      <c r="N94" s="77" t="n">
        <f aca="false">IF(AND($M94="Y",Assumptions!$B$10=1),Assumptions!$B$53,IF($L94&gt;0,$L94+Scenarios!$F$9,$I94+$J94+IF($I94&gt;Assumptions!$B$5,Scenarios!$F$8,0)))</f>
        <v>46255</v>
      </c>
      <c r="O94" s="67" t="n">
        <f aca="false">IF(AND($M94="Y",Assumptions!$B$10=1),$G94*(1-Assumptions!$B$52),$G94)</f>
        <v>28.1</v>
      </c>
      <c r="P94" s="72" t="str">
        <f aca="false">IF(AND($M94="Y",Assumptions!$B$10=1),"Invoice factoring - advance received",$D94)</f>
        <v>Collections - aftermarket &amp; distribution</v>
      </c>
      <c r="Q94" s="34" t="str">
        <f aca="false">IF(AND($M94="Y",Assumptions!$B$10=1),"Fixed",IF($L94&gt;0,"Fixed",IF($I94&gt;Assumptions!$B$5,"Trade","Fixed")))</f>
        <v>Trade</v>
      </c>
      <c r="R94" s="78" t="s">
        <v>235</v>
      </c>
    </row>
    <row r="95" customFormat="false" ht="12.75" hidden="false" customHeight="true" outlineLevel="0" collapsed="false">
      <c r="A95" s="49"/>
      <c r="B95" s="70" t="s">
        <v>184</v>
      </c>
      <c r="C95" s="71" t="s">
        <v>185</v>
      </c>
      <c r="D95" s="72" t="s">
        <v>113</v>
      </c>
      <c r="E95" s="49" t="s">
        <v>301</v>
      </c>
      <c r="F95" s="73" t="n">
        <v>46220</v>
      </c>
      <c r="G95" s="74" t="n">
        <f aca="false">ROUND(Assumptions!$B$25*0.99*$F$12,1)</f>
        <v>26.5</v>
      </c>
      <c r="H95" s="75" t="n">
        <v>30</v>
      </c>
      <c r="I95" s="68" t="n">
        <f aca="false">F95+H95</f>
        <v>46250</v>
      </c>
      <c r="J95" s="75" t="n">
        <v>12</v>
      </c>
      <c r="K95" s="34" t="s">
        <v>227</v>
      </c>
      <c r="L95" s="73"/>
      <c r="M95" s="76" t="s">
        <v>228</v>
      </c>
      <c r="N95" s="77" t="n">
        <f aca="false">IF(AND($M95="Y",Assumptions!$B$10=1),Assumptions!$B$53,IF($L95&gt;0,$L95+Scenarios!$F$9,$I95+$J95+IF($I95&gt;Assumptions!$B$5,Scenarios!$F$8,0)))</f>
        <v>46262</v>
      </c>
      <c r="O95" s="67" t="n">
        <f aca="false">IF(AND($M95="Y",Assumptions!$B$10=1),$G95*(1-Assumptions!$B$52),$G95)</f>
        <v>26.5</v>
      </c>
      <c r="P95" s="72" t="str">
        <f aca="false">IF(AND($M95="Y",Assumptions!$B$10=1),"Invoice factoring - advance received",$D95)</f>
        <v>Collections - aftermarket &amp; distribution</v>
      </c>
      <c r="Q95" s="34" t="str">
        <f aca="false">IF(AND($M95="Y",Assumptions!$B$10=1),"Fixed",IF($L95&gt;0,"Fixed",IF($I95&gt;Assumptions!$B$5,"Trade","Fixed")))</f>
        <v>Trade</v>
      </c>
      <c r="R95" s="78" t="s">
        <v>237</v>
      </c>
    </row>
    <row r="96" customFormat="false" ht="12.75" hidden="false" customHeight="true" outlineLevel="0" collapsed="false">
      <c r="A96" s="49"/>
      <c r="B96" s="70" t="s">
        <v>184</v>
      </c>
      <c r="C96" s="71" t="s">
        <v>185</v>
      </c>
      <c r="D96" s="72" t="s">
        <v>113</v>
      </c>
      <c r="E96" s="49" t="s">
        <v>302</v>
      </c>
      <c r="F96" s="73" t="n">
        <v>46227</v>
      </c>
      <c r="G96" s="74" t="n">
        <f aca="false">ROUND(Assumptions!$B$25*1.02*$F$12,1)</f>
        <v>27.3</v>
      </c>
      <c r="H96" s="75" t="n">
        <v>30</v>
      </c>
      <c r="I96" s="68" t="n">
        <f aca="false">F96+H96</f>
        <v>46257</v>
      </c>
      <c r="J96" s="75" t="n">
        <v>12</v>
      </c>
      <c r="K96" s="34" t="s">
        <v>227</v>
      </c>
      <c r="L96" s="73"/>
      <c r="M96" s="76" t="s">
        <v>228</v>
      </c>
      <c r="N96" s="77" t="n">
        <f aca="false">IF(AND($M96="Y",Assumptions!$B$10=1),Assumptions!$B$53,IF($L96&gt;0,$L96+Scenarios!$F$9,$I96+$J96+IF($I96&gt;Assumptions!$B$5,Scenarios!$F$8,0)))</f>
        <v>46269</v>
      </c>
      <c r="O96" s="67" t="n">
        <f aca="false">IF(AND($M96="Y",Assumptions!$B$10=1),$G96*(1-Assumptions!$B$52),$G96)</f>
        <v>27.3</v>
      </c>
      <c r="P96" s="72" t="str">
        <f aca="false">IF(AND($M96="Y",Assumptions!$B$10=1),"Invoice factoring - advance received",$D96)</f>
        <v>Collections - aftermarket &amp; distribution</v>
      </c>
      <c r="Q96" s="34" t="str">
        <f aca="false">IF(AND($M96="Y",Assumptions!$B$10=1),"Fixed",IF($L96&gt;0,"Fixed",IF($I96&gt;Assumptions!$B$5,"Trade","Fixed")))</f>
        <v>Trade</v>
      </c>
      <c r="R96" s="78" t="s">
        <v>239</v>
      </c>
    </row>
    <row r="97" customFormat="false" ht="12.75" hidden="false" customHeight="true" outlineLevel="0" collapsed="false">
      <c r="A97" s="49"/>
      <c r="B97" s="70" t="s">
        <v>184</v>
      </c>
      <c r="C97" s="71" t="s">
        <v>185</v>
      </c>
      <c r="D97" s="72" t="s">
        <v>113</v>
      </c>
      <c r="E97" s="49" t="s">
        <v>303</v>
      </c>
      <c r="F97" s="73" t="n">
        <v>46157</v>
      </c>
      <c r="G97" s="80" t="n">
        <v>34</v>
      </c>
      <c r="H97" s="75" t="n">
        <v>30</v>
      </c>
      <c r="I97" s="68" t="n">
        <f aca="false">F97+H97</f>
        <v>46187</v>
      </c>
      <c r="J97" s="75" t="n">
        <v>12</v>
      </c>
      <c r="K97" s="79" t="s">
        <v>304</v>
      </c>
      <c r="L97" s="73" t="n">
        <v>46234</v>
      </c>
      <c r="M97" s="76" t="s">
        <v>228</v>
      </c>
      <c r="N97" s="77" t="n">
        <f aca="false">IF(AND($M97="Y",Assumptions!$B$10=1),Assumptions!$B$53,IF($L97&gt;0,$L97+Scenarios!$F$9,$I97+$J97+IF($I97&gt;Assumptions!$B$5,Scenarios!$F$8,0)))</f>
        <v>46234</v>
      </c>
      <c r="O97" s="67" t="n">
        <f aca="false">IF(AND($M97="Y",Assumptions!$B$10=1),$G97*(1-Assumptions!$B$52),$G97)</f>
        <v>34</v>
      </c>
      <c r="P97" s="72" t="str">
        <f aca="false">IF(AND($M97="Y",Assumptions!$B$10=1),"Invoice factoring - advance received",$D97)</f>
        <v>Collections - aftermarket &amp; distribution</v>
      </c>
      <c r="Q97" s="34" t="str">
        <f aca="false">IF(AND($M97="Y",Assumptions!$B$10=1),"Fixed",IF($L97&gt;0,"Fixed",IF($I97&gt;Assumptions!$B$5,"Trade","Fixed")))</f>
        <v>Fixed</v>
      </c>
      <c r="R97" s="78" t="s">
        <v>305</v>
      </c>
    </row>
    <row r="98" customFormat="false" ht="12.75" hidden="false" customHeight="true" outlineLevel="0" collapsed="false">
      <c r="A98" s="49"/>
      <c r="B98" s="70" t="s">
        <v>184</v>
      </c>
      <c r="C98" s="71" t="s">
        <v>185</v>
      </c>
      <c r="D98" s="72" t="s">
        <v>113</v>
      </c>
      <c r="E98" s="49" t="s">
        <v>306</v>
      </c>
      <c r="F98" s="73" t="n">
        <v>46164</v>
      </c>
      <c r="G98" s="80" t="n">
        <v>28</v>
      </c>
      <c r="H98" s="75" t="n">
        <v>30</v>
      </c>
      <c r="I98" s="68" t="n">
        <f aca="false">F98+H98</f>
        <v>46194</v>
      </c>
      <c r="J98" s="75" t="n">
        <v>12</v>
      </c>
      <c r="K98" s="79" t="s">
        <v>304</v>
      </c>
      <c r="L98" s="73" t="n">
        <v>46248</v>
      </c>
      <c r="M98" s="76" t="s">
        <v>228</v>
      </c>
      <c r="N98" s="77" t="n">
        <f aca="false">IF(AND($M98="Y",Assumptions!$B$10=1),Assumptions!$B$53,IF($L98&gt;0,$L98+Scenarios!$F$9,$I98+$J98+IF($I98&gt;Assumptions!$B$5,Scenarios!$F$8,0)))</f>
        <v>46248</v>
      </c>
      <c r="O98" s="67" t="n">
        <f aca="false">IF(AND($M98="Y",Assumptions!$B$10=1),$G98*(1-Assumptions!$B$52),$G98)</f>
        <v>28</v>
      </c>
      <c r="P98" s="72" t="str">
        <f aca="false">IF(AND($M98="Y",Assumptions!$B$10=1),"Invoice factoring - advance received",$D98)</f>
        <v>Collections - aftermarket &amp; distribution</v>
      </c>
      <c r="Q98" s="34" t="str">
        <f aca="false">IF(AND($M98="Y",Assumptions!$B$10=1),"Fixed",IF($L98&gt;0,"Fixed",IF($I98&gt;Assumptions!$B$5,"Trade","Fixed")))</f>
        <v>Fixed</v>
      </c>
      <c r="R98" s="78" t="s">
        <v>307</v>
      </c>
    </row>
    <row r="99" customFormat="false" ht="15" hidden="false" customHeight="false" outlineLevel="0" collapsed="false">
      <c r="B99" s="59" t="s">
        <v>308</v>
      </c>
      <c r="C99" s="60"/>
      <c r="D99" s="60"/>
      <c r="E99" s="60"/>
      <c r="F99" s="60"/>
      <c r="G99" s="63" t="n">
        <f aca="false">SUM(G34:G98)</f>
        <v>7347.8</v>
      </c>
      <c r="H99" s="60"/>
      <c r="I99" s="60"/>
      <c r="J99" s="60"/>
      <c r="K99" s="60"/>
      <c r="L99" s="60"/>
      <c r="M99" s="60"/>
      <c r="N99" s="60"/>
      <c r="O99" s="63" t="n">
        <f aca="false">SUM(O34:O98)</f>
        <v>7347.8</v>
      </c>
      <c r="P99" s="60"/>
      <c r="Q99" s="60"/>
      <c r="R99" s="64" t="s">
        <v>309</v>
      </c>
    </row>
    <row r="101" customFormat="false" ht="16.5" hidden="false" customHeight="true" outlineLevel="0" collapsed="false">
      <c r="A101" s="10" t="s">
        <v>310</v>
      </c>
      <c r="B101" s="10"/>
      <c r="C101" s="10"/>
      <c r="D101" s="10"/>
      <c r="E101" s="10"/>
      <c r="F101" s="10"/>
      <c r="G101" s="10"/>
      <c r="H101" s="10"/>
      <c r="I101" s="10"/>
      <c r="J101" s="10"/>
      <c r="K101" s="10"/>
      <c r="L101" s="10"/>
      <c r="M101" s="10"/>
      <c r="N101" s="10"/>
      <c r="O101" s="10"/>
      <c r="P101" s="10"/>
      <c r="Q101" s="10"/>
      <c r="R101" s="10"/>
    </row>
    <row r="102" customFormat="false" ht="27.75" hidden="false" customHeight="true" outlineLevel="0" collapsed="false">
      <c r="B102" s="12" t="s">
        <v>155</v>
      </c>
      <c r="C102" s="12" t="s">
        <v>156</v>
      </c>
      <c r="D102" s="12" t="s">
        <v>157</v>
      </c>
      <c r="E102" s="12" t="s">
        <v>103</v>
      </c>
      <c r="F102" s="12" t="s">
        <v>193</v>
      </c>
      <c r="G102" s="12" t="s">
        <v>216</v>
      </c>
      <c r="H102" s="12" t="s">
        <v>217</v>
      </c>
      <c r="I102" s="12" t="s">
        <v>218</v>
      </c>
      <c r="J102" s="12" t="s">
        <v>219</v>
      </c>
      <c r="K102" s="12" t="s">
        <v>70</v>
      </c>
      <c r="L102" s="12" t="s">
        <v>220</v>
      </c>
      <c r="M102" s="12" t="s">
        <v>221</v>
      </c>
      <c r="N102" s="12" t="s">
        <v>222</v>
      </c>
      <c r="O102" s="12" t="s">
        <v>223</v>
      </c>
      <c r="P102" s="12" t="s">
        <v>224</v>
      </c>
      <c r="Q102" s="12" t="s">
        <v>225</v>
      </c>
      <c r="R102" s="12" t="s">
        <v>194</v>
      </c>
    </row>
    <row r="103" customFormat="false" ht="12.75" hidden="false" customHeight="true" outlineLevel="0" collapsed="false">
      <c r="A103" s="71"/>
      <c r="B103" s="70" t="s">
        <v>166</v>
      </c>
      <c r="C103" s="71" t="s">
        <v>167</v>
      </c>
      <c r="D103" s="72" t="s">
        <v>111</v>
      </c>
      <c r="E103" s="49" t="s">
        <v>195</v>
      </c>
      <c r="F103" s="66" t="n">
        <f aca="false">$H$17</f>
        <v>46234</v>
      </c>
      <c r="G103" s="74" t="n">
        <f aca="false">ROUND($G$17*$F$6,1)</f>
        <v>227.5</v>
      </c>
      <c r="H103" s="75" t="n">
        <f aca="false">$G$6</f>
        <v>90</v>
      </c>
      <c r="I103" s="68" t="n">
        <f aca="false">F103+H103</f>
        <v>46324</v>
      </c>
      <c r="J103" s="75" t="n">
        <f aca="false">$H$6</f>
        <v>4</v>
      </c>
      <c r="K103" s="34" t="s">
        <v>311</v>
      </c>
      <c r="L103" s="73"/>
      <c r="M103" s="76" t="s">
        <v>312</v>
      </c>
      <c r="N103" s="77" t="n">
        <f aca="false">IF(AND($M103="Y",Assumptions!$B$10=1),Assumptions!$B$53,$I103+$J103+Scenarios!$F$8)</f>
        <v>46328</v>
      </c>
      <c r="O103" s="67" t="n">
        <f aca="false">IF(AND($M103="Y",Assumptions!$B$10=1),$G103*(1-Assumptions!$B$52),$G103)</f>
        <v>227.5</v>
      </c>
      <c r="P103" s="72" t="str">
        <f aca="false">IF(AND($M103="Y",Assumptions!$B$10=1),"Invoice factoring - advance received",$D103)</f>
        <v>Collections - automotive Tier-1 OEM</v>
      </c>
      <c r="Q103" s="34" t="str">
        <f aca="false">IF(AND($M103="Y",Assumptions!$B$10=1),"Fixed","Trade")</f>
        <v>Trade</v>
      </c>
      <c r="R103" s="78" t="s">
        <v>313</v>
      </c>
    </row>
    <row r="104" customFormat="false" ht="12.75" hidden="false" customHeight="true" outlineLevel="0" collapsed="false">
      <c r="A104" s="71"/>
      <c r="B104" s="70" t="s">
        <v>166</v>
      </c>
      <c r="C104" s="71" t="s">
        <v>167</v>
      </c>
      <c r="D104" s="72" t="s">
        <v>111</v>
      </c>
      <c r="E104" s="49" t="s">
        <v>197</v>
      </c>
      <c r="F104" s="66" t="n">
        <f aca="false">$H$18</f>
        <v>46241</v>
      </c>
      <c r="G104" s="74" t="n">
        <f aca="false">ROUND($G$18*$F$6,1)</f>
        <v>232.1</v>
      </c>
      <c r="H104" s="75" t="n">
        <f aca="false">$G$6</f>
        <v>90</v>
      </c>
      <c r="I104" s="68" t="n">
        <f aca="false">F104+H104</f>
        <v>46331</v>
      </c>
      <c r="J104" s="75" t="n">
        <f aca="false">$H$6</f>
        <v>4</v>
      </c>
      <c r="K104" s="34" t="s">
        <v>311</v>
      </c>
      <c r="L104" s="73"/>
      <c r="M104" s="76" t="s">
        <v>312</v>
      </c>
      <c r="N104" s="77" t="n">
        <f aca="false">IF(AND($M104="Y",Assumptions!$B$10=1),Assumptions!$B$53,$I104+$J104+Scenarios!$F$8)</f>
        <v>46335</v>
      </c>
      <c r="O104" s="67" t="n">
        <f aca="false">IF(AND($M104="Y",Assumptions!$B$10=1),$G104*(1-Assumptions!$B$52),$G104)</f>
        <v>232.1</v>
      </c>
      <c r="P104" s="72" t="str">
        <f aca="false">IF(AND($M104="Y",Assumptions!$B$10=1),"Invoice factoring - advance received",$D104)</f>
        <v>Collections - automotive Tier-1 OEM</v>
      </c>
      <c r="Q104" s="34" t="str">
        <f aca="false">IF(AND($M104="Y",Assumptions!$B$10=1),"Fixed","Trade")</f>
        <v>Trade</v>
      </c>
      <c r="R104" s="78" t="s">
        <v>313</v>
      </c>
    </row>
    <row r="105" customFormat="false" ht="12.75" hidden="false" customHeight="true" outlineLevel="0" collapsed="false">
      <c r="A105" s="71"/>
      <c r="B105" s="70" t="s">
        <v>166</v>
      </c>
      <c r="C105" s="71" t="s">
        <v>167</v>
      </c>
      <c r="D105" s="72" t="s">
        <v>111</v>
      </c>
      <c r="E105" s="49" t="s">
        <v>198</v>
      </c>
      <c r="F105" s="66" t="n">
        <f aca="false">$H$19</f>
        <v>46248</v>
      </c>
      <c r="G105" s="74" t="n">
        <f aca="false">ROUND($G$19*$F$6,1)</f>
        <v>45.5</v>
      </c>
      <c r="H105" s="75" t="n">
        <f aca="false">$G$6</f>
        <v>90</v>
      </c>
      <c r="I105" s="68" t="n">
        <f aca="false">F105+H105</f>
        <v>46338</v>
      </c>
      <c r="J105" s="75" t="n">
        <f aca="false">$H$6</f>
        <v>4</v>
      </c>
      <c r="K105" s="34" t="s">
        <v>311</v>
      </c>
      <c r="L105" s="73"/>
      <c r="M105" s="76" t="s">
        <v>228</v>
      </c>
      <c r="N105" s="77" t="n">
        <f aca="false">IF(AND($M105="Y",Assumptions!$B$10=1),Assumptions!$B$53,$I105+$J105+Scenarios!$F$8)</f>
        <v>46342</v>
      </c>
      <c r="O105" s="67" t="n">
        <f aca="false">IF(AND($M105="Y",Assumptions!$B$10=1),$G105*(1-Assumptions!$B$52),$G105)</f>
        <v>45.5</v>
      </c>
      <c r="P105" s="72" t="str">
        <f aca="false">IF(AND($M105="Y",Assumptions!$B$10=1),"Invoice factoring - advance received",$D105)</f>
        <v>Collections - automotive Tier-1 OEM</v>
      </c>
      <c r="Q105" s="34" t="str">
        <f aca="false">IF(AND($M105="Y",Assumptions!$B$10=1),"Fixed","Trade")</f>
        <v>Trade</v>
      </c>
      <c r="R105" s="78" t="s">
        <v>314</v>
      </c>
    </row>
    <row r="106" customFormat="false" ht="12.75" hidden="false" customHeight="true" outlineLevel="0" collapsed="false">
      <c r="A106" s="71"/>
      <c r="B106" s="70" t="s">
        <v>166</v>
      </c>
      <c r="C106" s="71" t="s">
        <v>167</v>
      </c>
      <c r="D106" s="72" t="s">
        <v>111</v>
      </c>
      <c r="E106" s="49" t="s">
        <v>200</v>
      </c>
      <c r="F106" s="66" t="n">
        <f aca="false">$H$20</f>
        <v>46255</v>
      </c>
      <c r="G106" s="74" t="n">
        <f aca="false">ROUND($G$20*$F$6,1)</f>
        <v>45.5</v>
      </c>
      <c r="H106" s="75" t="n">
        <f aca="false">$G$6</f>
        <v>90</v>
      </c>
      <c r="I106" s="68" t="n">
        <f aca="false">F106+H106</f>
        <v>46345</v>
      </c>
      <c r="J106" s="75" t="n">
        <f aca="false">$H$6</f>
        <v>4</v>
      </c>
      <c r="K106" s="34" t="s">
        <v>311</v>
      </c>
      <c r="L106" s="73"/>
      <c r="M106" s="76" t="s">
        <v>228</v>
      </c>
      <c r="N106" s="77" t="n">
        <f aca="false">IF(AND($M106="Y",Assumptions!$B$10=1),Assumptions!$B$53,$I106+$J106+Scenarios!$F$8)</f>
        <v>46349</v>
      </c>
      <c r="O106" s="67" t="n">
        <f aca="false">IF(AND($M106="Y",Assumptions!$B$10=1),$G106*(1-Assumptions!$B$52),$G106)</f>
        <v>45.5</v>
      </c>
      <c r="P106" s="72" t="str">
        <f aca="false">IF(AND($M106="Y",Assumptions!$B$10=1),"Invoice factoring - advance received",$D106)</f>
        <v>Collections - automotive Tier-1 OEM</v>
      </c>
      <c r="Q106" s="34" t="str">
        <f aca="false">IF(AND($M106="Y",Assumptions!$B$10=1),"Fixed","Trade")</f>
        <v>Trade</v>
      </c>
      <c r="R106" s="78" t="s">
        <v>314</v>
      </c>
    </row>
    <row r="107" customFormat="false" ht="12.75" hidden="false" customHeight="true" outlineLevel="0" collapsed="false">
      <c r="A107" s="71"/>
      <c r="B107" s="70" t="s">
        <v>166</v>
      </c>
      <c r="C107" s="71" t="s">
        <v>167</v>
      </c>
      <c r="D107" s="72" t="s">
        <v>111</v>
      </c>
      <c r="E107" s="49" t="s">
        <v>201</v>
      </c>
      <c r="F107" s="66" t="n">
        <f aca="false">$H$21</f>
        <v>46262</v>
      </c>
      <c r="G107" s="74" t="n">
        <f aca="false">ROUND($G$21*$F$6,1)</f>
        <v>193.4</v>
      </c>
      <c r="H107" s="75" t="n">
        <f aca="false">$G$6</f>
        <v>90</v>
      </c>
      <c r="I107" s="68" t="n">
        <f aca="false">F107+H107</f>
        <v>46352</v>
      </c>
      <c r="J107" s="75" t="n">
        <f aca="false">$H$6</f>
        <v>4</v>
      </c>
      <c r="K107" s="34" t="s">
        <v>311</v>
      </c>
      <c r="L107" s="73"/>
      <c r="M107" s="76" t="s">
        <v>228</v>
      </c>
      <c r="N107" s="77" t="n">
        <f aca="false">IF(AND($M107="Y",Assumptions!$B$10=1),Assumptions!$B$53,$I107+$J107+Scenarios!$F$8)</f>
        <v>46356</v>
      </c>
      <c r="O107" s="67" t="n">
        <f aca="false">IF(AND($M107="Y",Assumptions!$B$10=1),$G107*(1-Assumptions!$B$52),$G107)</f>
        <v>193.4</v>
      </c>
      <c r="P107" s="72" t="str">
        <f aca="false">IF(AND($M107="Y",Assumptions!$B$10=1),"Invoice factoring - advance received",$D107)</f>
        <v>Collections - automotive Tier-1 OEM</v>
      </c>
      <c r="Q107" s="34" t="str">
        <f aca="false">IF(AND($M107="Y",Assumptions!$B$10=1),"Fixed","Trade")</f>
        <v>Trade</v>
      </c>
      <c r="R107" s="78" t="s">
        <v>314</v>
      </c>
    </row>
    <row r="108" customFormat="false" ht="12.75" hidden="false" customHeight="true" outlineLevel="0" collapsed="false">
      <c r="A108" s="71"/>
      <c r="B108" s="70" t="s">
        <v>166</v>
      </c>
      <c r="C108" s="71" t="s">
        <v>167</v>
      </c>
      <c r="D108" s="72" t="s">
        <v>111</v>
      </c>
      <c r="E108" s="49" t="s">
        <v>203</v>
      </c>
      <c r="F108" s="66" t="n">
        <f aca="false">$H$22</f>
        <v>46269</v>
      </c>
      <c r="G108" s="74" t="n">
        <f aca="false">ROUND($G$22*$F$6,1)</f>
        <v>238.9</v>
      </c>
      <c r="H108" s="75" t="n">
        <f aca="false">$G$6</f>
        <v>90</v>
      </c>
      <c r="I108" s="68" t="n">
        <f aca="false">F108+H108</f>
        <v>46359</v>
      </c>
      <c r="J108" s="75" t="n">
        <f aca="false">$H$6</f>
        <v>4</v>
      </c>
      <c r="K108" s="34" t="s">
        <v>311</v>
      </c>
      <c r="L108" s="73"/>
      <c r="M108" s="76" t="s">
        <v>228</v>
      </c>
      <c r="N108" s="77" t="n">
        <f aca="false">IF(AND($M108="Y",Assumptions!$B$10=1),Assumptions!$B$53,$I108+$J108+Scenarios!$F$8)</f>
        <v>46363</v>
      </c>
      <c r="O108" s="67" t="n">
        <f aca="false">IF(AND($M108="Y",Assumptions!$B$10=1),$G108*(1-Assumptions!$B$52),$G108)</f>
        <v>238.9</v>
      </c>
      <c r="P108" s="72" t="str">
        <f aca="false">IF(AND($M108="Y",Assumptions!$B$10=1),"Invoice factoring - advance received",$D108)</f>
        <v>Collections - automotive Tier-1 OEM</v>
      </c>
      <c r="Q108" s="34" t="str">
        <f aca="false">IF(AND($M108="Y",Assumptions!$B$10=1),"Fixed","Trade")</f>
        <v>Trade</v>
      </c>
      <c r="R108" s="78" t="s">
        <v>314</v>
      </c>
    </row>
    <row r="109" customFormat="false" ht="12.75" hidden="false" customHeight="true" outlineLevel="0" collapsed="false">
      <c r="A109" s="71"/>
      <c r="B109" s="70" t="s">
        <v>166</v>
      </c>
      <c r="C109" s="71" t="s">
        <v>167</v>
      </c>
      <c r="D109" s="72" t="s">
        <v>111</v>
      </c>
      <c r="E109" s="49" t="s">
        <v>204</v>
      </c>
      <c r="F109" s="66" t="n">
        <f aca="false">$H$23</f>
        <v>46276</v>
      </c>
      <c r="G109" s="74" t="n">
        <f aca="false">ROUND($G$23*$F$6,1)</f>
        <v>250.3</v>
      </c>
      <c r="H109" s="75" t="n">
        <f aca="false">$G$6</f>
        <v>90</v>
      </c>
      <c r="I109" s="68" t="n">
        <f aca="false">F109+H109</f>
        <v>46366</v>
      </c>
      <c r="J109" s="75" t="n">
        <f aca="false">$H$6</f>
        <v>4</v>
      </c>
      <c r="K109" s="34" t="s">
        <v>311</v>
      </c>
      <c r="L109" s="73"/>
      <c r="M109" s="76" t="s">
        <v>228</v>
      </c>
      <c r="N109" s="77" t="n">
        <f aca="false">IF(AND($M109="Y",Assumptions!$B$10=1),Assumptions!$B$53,$I109+$J109+Scenarios!$F$8)</f>
        <v>46370</v>
      </c>
      <c r="O109" s="67" t="n">
        <f aca="false">IF(AND($M109="Y",Assumptions!$B$10=1),$G109*(1-Assumptions!$B$52),$G109)</f>
        <v>250.3</v>
      </c>
      <c r="P109" s="72" t="str">
        <f aca="false">IF(AND($M109="Y",Assumptions!$B$10=1),"Invoice factoring - advance received",$D109)</f>
        <v>Collections - automotive Tier-1 OEM</v>
      </c>
      <c r="Q109" s="34" t="str">
        <f aca="false">IF(AND($M109="Y",Assumptions!$B$10=1),"Fixed","Trade")</f>
        <v>Trade</v>
      </c>
      <c r="R109" s="78" t="s">
        <v>314</v>
      </c>
    </row>
    <row r="110" customFormat="false" ht="12.75" hidden="false" customHeight="true" outlineLevel="0" collapsed="false">
      <c r="A110" s="71"/>
      <c r="B110" s="70" t="s">
        <v>166</v>
      </c>
      <c r="C110" s="71" t="s">
        <v>167</v>
      </c>
      <c r="D110" s="72" t="s">
        <v>111</v>
      </c>
      <c r="E110" s="49" t="s">
        <v>206</v>
      </c>
      <c r="F110" s="66" t="n">
        <f aca="false">$H$24</f>
        <v>46283</v>
      </c>
      <c r="G110" s="74" t="n">
        <f aca="false">ROUND($G$24*$F$6,1)</f>
        <v>250.3</v>
      </c>
      <c r="H110" s="75" t="n">
        <f aca="false">$G$6</f>
        <v>90</v>
      </c>
      <c r="I110" s="68" t="n">
        <f aca="false">F110+H110</f>
        <v>46373</v>
      </c>
      <c r="J110" s="75" t="n">
        <f aca="false">$H$6</f>
        <v>4</v>
      </c>
      <c r="K110" s="34" t="s">
        <v>311</v>
      </c>
      <c r="L110" s="73"/>
      <c r="M110" s="76" t="s">
        <v>228</v>
      </c>
      <c r="N110" s="77" t="n">
        <f aca="false">IF(AND($M110="Y",Assumptions!$B$10=1),Assumptions!$B$53,$I110+$J110+Scenarios!$F$8)</f>
        <v>46377</v>
      </c>
      <c r="O110" s="67" t="n">
        <f aca="false">IF(AND($M110="Y",Assumptions!$B$10=1),$G110*(1-Assumptions!$B$52),$G110)</f>
        <v>250.3</v>
      </c>
      <c r="P110" s="72" t="str">
        <f aca="false">IF(AND($M110="Y",Assumptions!$B$10=1),"Invoice factoring - advance received",$D110)</f>
        <v>Collections - automotive Tier-1 OEM</v>
      </c>
      <c r="Q110" s="34" t="str">
        <f aca="false">IF(AND($M110="Y",Assumptions!$B$10=1),"Fixed","Trade")</f>
        <v>Trade</v>
      </c>
      <c r="R110" s="78" t="s">
        <v>314</v>
      </c>
    </row>
    <row r="111" customFormat="false" ht="12.75" hidden="false" customHeight="true" outlineLevel="0" collapsed="false">
      <c r="A111" s="71"/>
      <c r="B111" s="70" t="s">
        <v>166</v>
      </c>
      <c r="C111" s="71" t="s">
        <v>167</v>
      </c>
      <c r="D111" s="72" t="s">
        <v>111</v>
      </c>
      <c r="E111" s="49" t="s">
        <v>207</v>
      </c>
      <c r="F111" s="66" t="n">
        <f aca="false">$H$25</f>
        <v>46290</v>
      </c>
      <c r="G111" s="74" t="n">
        <f aca="false">ROUND($G$25*$F$6,1)</f>
        <v>245.8</v>
      </c>
      <c r="H111" s="75" t="n">
        <f aca="false">$G$6</f>
        <v>90</v>
      </c>
      <c r="I111" s="68" t="n">
        <f aca="false">F111+H111</f>
        <v>46380</v>
      </c>
      <c r="J111" s="75" t="n">
        <f aca="false">$H$6</f>
        <v>4</v>
      </c>
      <c r="K111" s="34" t="s">
        <v>311</v>
      </c>
      <c r="L111" s="73"/>
      <c r="M111" s="76" t="s">
        <v>228</v>
      </c>
      <c r="N111" s="77" t="n">
        <f aca="false">IF(AND($M111="Y",Assumptions!$B$10=1),Assumptions!$B$53,$I111+$J111+Scenarios!$F$8)</f>
        <v>46384</v>
      </c>
      <c r="O111" s="67" t="n">
        <f aca="false">IF(AND($M111="Y",Assumptions!$B$10=1),$G111*(1-Assumptions!$B$52),$G111)</f>
        <v>245.8</v>
      </c>
      <c r="P111" s="72" t="str">
        <f aca="false">IF(AND($M111="Y",Assumptions!$B$10=1),"Invoice factoring - advance received",$D111)</f>
        <v>Collections - automotive Tier-1 OEM</v>
      </c>
      <c r="Q111" s="34" t="str">
        <f aca="false">IF(AND($M111="Y",Assumptions!$B$10=1),"Fixed","Trade")</f>
        <v>Trade</v>
      </c>
      <c r="R111" s="78" t="s">
        <v>314</v>
      </c>
    </row>
    <row r="112" customFormat="false" ht="12.75" hidden="false" customHeight="true" outlineLevel="0" collapsed="false">
      <c r="A112" s="71"/>
      <c r="B112" s="70" t="s">
        <v>166</v>
      </c>
      <c r="C112" s="71" t="s">
        <v>167</v>
      </c>
      <c r="D112" s="72" t="s">
        <v>111</v>
      </c>
      <c r="E112" s="49" t="s">
        <v>208</v>
      </c>
      <c r="F112" s="66" t="n">
        <f aca="false">$H$26</f>
        <v>46297</v>
      </c>
      <c r="G112" s="74" t="n">
        <f aca="false">ROUND($G$26*$F$6,1)</f>
        <v>238.9</v>
      </c>
      <c r="H112" s="75" t="n">
        <f aca="false">$G$6</f>
        <v>90</v>
      </c>
      <c r="I112" s="68" t="n">
        <f aca="false">F112+H112</f>
        <v>46387</v>
      </c>
      <c r="J112" s="75" t="n">
        <f aca="false">$H$6</f>
        <v>4</v>
      </c>
      <c r="K112" s="34" t="s">
        <v>311</v>
      </c>
      <c r="L112" s="73"/>
      <c r="M112" s="76" t="s">
        <v>228</v>
      </c>
      <c r="N112" s="77" t="n">
        <f aca="false">IF(AND($M112="Y",Assumptions!$B$10=1),Assumptions!$B$53,$I112+$J112+Scenarios!$F$8)</f>
        <v>46391</v>
      </c>
      <c r="O112" s="67" t="n">
        <f aca="false">IF(AND($M112="Y",Assumptions!$B$10=1),$G112*(1-Assumptions!$B$52),$G112)</f>
        <v>238.9</v>
      </c>
      <c r="P112" s="72" t="str">
        <f aca="false">IF(AND($M112="Y",Assumptions!$B$10=1),"Invoice factoring - advance received",$D112)</f>
        <v>Collections - automotive Tier-1 OEM</v>
      </c>
      <c r="Q112" s="34" t="str">
        <f aca="false">IF(AND($M112="Y",Assumptions!$B$10=1),"Fixed","Trade")</f>
        <v>Trade</v>
      </c>
      <c r="R112" s="78" t="s">
        <v>314</v>
      </c>
    </row>
    <row r="113" customFormat="false" ht="12.75" hidden="false" customHeight="true" outlineLevel="0" collapsed="false">
      <c r="A113" s="71"/>
      <c r="B113" s="70" t="s">
        <v>166</v>
      </c>
      <c r="C113" s="71" t="s">
        <v>167</v>
      </c>
      <c r="D113" s="72" t="s">
        <v>111</v>
      </c>
      <c r="E113" s="49" t="s">
        <v>209</v>
      </c>
      <c r="F113" s="66" t="n">
        <f aca="false">$H$27</f>
        <v>46304</v>
      </c>
      <c r="G113" s="74" t="n">
        <f aca="false">ROUND($G$27*$F$6,1)</f>
        <v>238.9</v>
      </c>
      <c r="H113" s="75" t="n">
        <f aca="false">$G$6</f>
        <v>90</v>
      </c>
      <c r="I113" s="68" t="n">
        <f aca="false">F113+H113</f>
        <v>46394</v>
      </c>
      <c r="J113" s="75" t="n">
        <f aca="false">$H$6</f>
        <v>4</v>
      </c>
      <c r="K113" s="34" t="s">
        <v>311</v>
      </c>
      <c r="L113" s="73"/>
      <c r="M113" s="76" t="s">
        <v>228</v>
      </c>
      <c r="N113" s="77" t="n">
        <f aca="false">IF(AND($M113="Y",Assumptions!$B$10=1),Assumptions!$B$53,$I113+$J113+Scenarios!$F$8)</f>
        <v>46398</v>
      </c>
      <c r="O113" s="67" t="n">
        <f aca="false">IF(AND($M113="Y",Assumptions!$B$10=1),$G113*(1-Assumptions!$B$52),$G113)</f>
        <v>238.9</v>
      </c>
      <c r="P113" s="72" t="str">
        <f aca="false">IF(AND($M113="Y",Assumptions!$B$10=1),"Invoice factoring - advance received",$D113)</f>
        <v>Collections - automotive Tier-1 OEM</v>
      </c>
      <c r="Q113" s="34" t="str">
        <f aca="false">IF(AND($M113="Y",Assumptions!$B$10=1),"Fixed","Trade")</f>
        <v>Trade</v>
      </c>
      <c r="R113" s="78" t="s">
        <v>314</v>
      </c>
    </row>
    <row r="114" customFormat="false" ht="12.75" hidden="false" customHeight="true" outlineLevel="0" collapsed="false">
      <c r="A114" s="71"/>
      <c r="B114" s="70" t="s">
        <v>166</v>
      </c>
      <c r="C114" s="71" t="s">
        <v>167</v>
      </c>
      <c r="D114" s="72" t="s">
        <v>111</v>
      </c>
      <c r="E114" s="49" t="s">
        <v>210</v>
      </c>
      <c r="F114" s="66" t="n">
        <f aca="false">$H$28</f>
        <v>46311</v>
      </c>
      <c r="G114" s="74" t="n">
        <f aca="false">ROUND($G$28*$F$6,1)</f>
        <v>232.1</v>
      </c>
      <c r="H114" s="75" t="n">
        <f aca="false">$G$6</f>
        <v>90</v>
      </c>
      <c r="I114" s="68" t="n">
        <f aca="false">F114+H114</f>
        <v>46401</v>
      </c>
      <c r="J114" s="75" t="n">
        <f aca="false">$H$6</f>
        <v>4</v>
      </c>
      <c r="K114" s="34" t="s">
        <v>311</v>
      </c>
      <c r="L114" s="73"/>
      <c r="M114" s="76" t="s">
        <v>228</v>
      </c>
      <c r="N114" s="77" t="n">
        <f aca="false">IF(AND($M114="Y",Assumptions!$B$10=1),Assumptions!$B$53,$I114+$J114+Scenarios!$F$8)</f>
        <v>46405</v>
      </c>
      <c r="O114" s="67" t="n">
        <f aca="false">IF(AND($M114="Y",Assumptions!$B$10=1),$G114*(1-Assumptions!$B$52),$G114)</f>
        <v>232.1</v>
      </c>
      <c r="P114" s="72" t="str">
        <f aca="false">IF(AND($M114="Y",Assumptions!$B$10=1),"Invoice factoring - advance received",$D114)</f>
        <v>Collections - automotive Tier-1 OEM</v>
      </c>
      <c r="Q114" s="34" t="str">
        <f aca="false">IF(AND($M114="Y",Assumptions!$B$10=1),"Fixed","Trade")</f>
        <v>Trade</v>
      </c>
      <c r="R114" s="78" t="s">
        <v>314</v>
      </c>
    </row>
    <row r="115" customFormat="false" ht="12.75" hidden="false" customHeight="true" outlineLevel="0" collapsed="false">
      <c r="A115" s="71"/>
      <c r="B115" s="70" t="s">
        <v>166</v>
      </c>
      <c r="C115" s="71" t="s">
        <v>167</v>
      </c>
      <c r="D115" s="72" t="s">
        <v>111</v>
      </c>
      <c r="E115" s="49" t="s">
        <v>211</v>
      </c>
      <c r="F115" s="66" t="n">
        <f aca="false">$H$29</f>
        <v>46318</v>
      </c>
      <c r="G115" s="74" t="n">
        <f aca="false">ROUND($G$29*$F$6,1)</f>
        <v>227.5</v>
      </c>
      <c r="H115" s="75" t="n">
        <f aca="false">$G$6</f>
        <v>90</v>
      </c>
      <c r="I115" s="68" t="n">
        <f aca="false">F115+H115</f>
        <v>46408</v>
      </c>
      <c r="J115" s="75" t="n">
        <f aca="false">$H$6</f>
        <v>4</v>
      </c>
      <c r="K115" s="34" t="s">
        <v>311</v>
      </c>
      <c r="L115" s="73"/>
      <c r="M115" s="76" t="s">
        <v>228</v>
      </c>
      <c r="N115" s="77" t="n">
        <f aca="false">IF(AND($M115="Y",Assumptions!$B$10=1),Assumptions!$B$53,$I115+$J115+Scenarios!$F$8)</f>
        <v>46412</v>
      </c>
      <c r="O115" s="67" t="n">
        <f aca="false">IF(AND($M115="Y",Assumptions!$B$10=1),$G115*(1-Assumptions!$B$52),$G115)</f>
        <v>227.5</v>
      </c>
      <c r="P115" s="72" t="str">
        <f aca="false">IF(AND($M115="Y",Assumptions!$B$10=1),"Invoice factoring - advance received",$D115)</f>
        <v>Collections - automotive Tier-1 OEM</v>
      </c>
      <c r="Q115" s="34" t="str">
        <f aca="false">IF(AND($M115="Y",Assumptions!$B$10=1),"Fixed","Trade")</f>
        <v>Trade</v>
      </c>
      <c r="R115" s="78" t="s">
        <v>314</v>
      </c>
    </row>
    <row r="116" customFormat="false" ht="12.75" hidden="false" customHeight="true" outlineLevel="0" collapsed="false">
      <c r="A116" s="71"/>
      <c r="B116" s="70" t="s">
        <v>170</v>
      </c>
      <c r="C116" s="71" t="s">
        <v>167</v>
      </c>
      <c r="D116" s="72" t="s">
        <v>111</v>
      </c>
      <c r="E116" s="49" t="s">
        <v>195</v>
      </c>
      <c r="F116" s="66" t="n">
        <f aca="false">$H$17</f>
        <v>46234</v>
      </c>
      <c r="G116" s="74" t="n">
        <f aca="false">ROUND($G$17*$F$7,1)</f>
        <v>140.5</v>
      </c>
      <c r="H116" s="75" t="n">
        <f aca="false">$G$7</f>
        <v>75</v>
      </c>
      <c r="I116" s="68" t="n">
        <f aca="false">F116+H116</f>
        <v>46309</v>
      </c>
      <c r="J116" s="75" t="n">
        <f aca="false">$H$7</f>
        <v>2</v>
      </c>
      <c r="K116" s="34" t="s">
        <v>311</v>
      </c>
      <c r="L116" s="73"/>
      <c r="M116" s="76" t="s">
        <v>312</v>
      </c>
      <c r="N116" s="77" t="n">
        <f aca="false">IF(AND($M116="Y",Assumptions!$B$10=1),Assumptions!$B$53,$I116+$J116+Scenarios!$F$8)</f>
        <v>46311</v>
      </c>
      <c r="O116" s="67" t="n">
        <f aca="false">IF(AND($M116="Y",Assumptions!$B$10=1),$G116*(1-Assumptions!$B$52),$G116)</f>
        <v>140.5</v>
      </c>
      <c r="P116" s="72" t="str">
        <f aca="false">IF(AND($M116="Y",Assumptions!$B$10=1),"Invoice factoring - advance received",$D116)</f>
        <v>Collections - automotive Tier-1 OEM</v>
      </c>
      <c r="Q116" s="34" t="str">
        <f aca="false">IF(AND($M116="Y",Assumptions!$B$10=1),"Fixed","Trade")</f>
        <v>Trade</v>
      </c>
      <c r="R116" s="78" t="s">
        <v>313</v>
      </c>
    </row>
    <row r="117" customFormat="false" ht="12.75" hidden="false" customHeight="true" outlineLevel="0" collapsed="false">
      <c r="A117" s="71"/>
      <c r="B117" s="70" t="s">
        <v>170</v>
      </c>
      <c r="C117" s="71" t="s">
        <v>167</v>
      </c>
      <c r="D117" s="72" t="s">
        <v>111</v>
      </c>
      <c r="E117" s="49" t="s">
        <v>197</v>
      </c>
      <c r="F117" s="66" t="n">
        <f aca="false">$H$18</f>
        <v>46241</v>
      </c>
      <c r="G117" s="74" t="n">
        <f aca="false">ROUND($G$18*$F$7,1)</f>
        <v>143.3</v>
      </c>
      <c r="H117" s="75" t="n">
        <f aca="false">$G$7</f>
        <v>75</v>
      </c>
      <c r="I117" s="68" t="n">
        <f aca="false">F117+H117</f>
        <v>46316</v>
      </c>
      <c r="J117" s="75" t="n">
        <f aca="false">$H$7</f>
        <v>2</v>
      </c>
      <c r="K117" s="34" t="s">
        <v>311</v>
      </c>
      <c r="L117" s="73"/>
      <c r="M117" s="76" t="s">
        <v>228</v>
      </c>
      <c r="N117" s="77" t="n">
        <f aca="false">IF(AND($M117="Y",Assumptions!$B$10=1),Assumptions!$B$53,$I117+$J117+Scenarios!$F$8)</f>
        <v>46318</v>
      </c>
      <c r="O117" s="67" t="n">
        <f aca="false">IF(AND($M117="Y",Assumptions!$B$10=1),$G117*(1-Assumptions!$B$52),$G117)</f>
        <v>143.3</v>
      </c>
      <c r="P117" s="72" t="str">
        <f aca="false">IF(AND($M117="Y",Assumptions!$B$10=1),"Invoice factoring - advance received",$D117)</f>
        <v>Collections - automotive Tier-1 OEM</v>
      </c>
      <c r="Q117" s="34" t="str">
        <f aca="false">IF(AND($M117="Y",Assumptions!$B$10=1),"Fixed","Trade")</f>
        <v>Trade</v>
      </c>
      <c r="R117" s="78" t="s">
        <v>314</v>
      </c>
    </row>
    <row r="118" customFormat="false" ht="12.75" hidden="false" customHeight="true" outlineLevel="0" collapsed="false">
      <c r="A118" s="71"/>
      <c r="B118" s="70" t="s">
        <v>170</v>
      </c>
      <c r="C118" s="71" t="s">
        <v>167</v>
      </c>
      <c r="D118" s="72" t="s">
        <v>111</v>
      </c>
      <c r="E118" s="49" t="s">
        <v>198</v>
      </c>
      <c r="F118" s="66" t="n">
        <f aca="false">$H$19</f>
        <v>46248</v>
      </c>
      <c r="G118" s="74" t="n">
        <f aca="false">ROUND($G$19*$F$7,1)</f>
        <v>28.1</v>
      </c>
      <c r="H118" s="75" t="n">
        <f aca="false">$G$7</f>
        <v>75</v>
      </c>
      <c r="I118" s="68" t="n">
        <f aca="false">F118+H118</f>
        <v>46323</v>
      </c>
      <c r="J118" s="75" t="n">
        <f aca="false">$H$7</f>
        <v>2</v>
      </c>
      <c r="K118" s="34" t="s">
        <v>311</v>
      </c>
      <c r="L118" s="73"/>
      <c r="M118" s="76" t="s">
        <v>228</v>
      </c>
      <c r="N118" s="77" t="n">
        <f aca="false">IF(AND($M118="Y",Assumptions!$B$10=1),Assumptions!$B$53,$I118+$J118+Scenarios!$F$8)</f>
        <v>46325</v>
      </c>
      <c r="O118" s="67" t="n">
        <f aca="false">IF(AND($M118="Y",Assumptions!$B$10=1),$G118*(1-Assumptions!$B$52),$G118)</f>
        <v>28.1</v>
      </c>
      <c r="P118" s="72" t="str">
        <f aca="false">IF(AND($M118="Y",Assumptions!$B$10=1),"Invoice factoring - advance received",$D118)</f>
        <v>Collections - automotive Tier-1 OEM</v>
      </c>
      <c r="Q118" s="34" t="str">
        <f aca="false">IF(AND($M118="Y",Assumptions!$B$10=1),"Fixed","Trade")</f>
        <v>Trade</v>
      </c>
      <c r="R118" s="78" t="s">
        <v>314</v>
      </c>
    </row>
    <row r="119" customFormat="false" ht="12.75" hidden="false" customHeight="true" outlineLevel="0" collapsed="false">
      <c r="A119" s="71"/>
      <c r="B119" s="70" t="s">
        <v>170</v>
      </c>
      <c r="C119" s="71" t="s">
        <v>167</v>
      </c>
      <c r="D119" s="72" t="s">
        <v>111</v>
      </c>
      <c r="E119" s="49" t="s">
        <v>200</v>
      </c>
      <c r="F119" s="66" t="n">
        <f aca="false">$H$20</f>
        <v>46255</v>
      </c>
      <c r="G119" s="74" t="n">
        <f aca="false">ROUND($G$20*$F$7,1)</f>
        <v>28.1</v>
      </c>
      <c r="H119" s="75" t="n">
        <f aca="false">$G$7</f>
        <v>75</v>
      </c>
      <c r="I119" s="68" t="n">
        <f aca="false">F119+H119</f>
        <v>46330</v>
      </c>
      <c r="J119" s="75" t="n">
        <f aca="false">$H$7</f>
        <v>2</v>
      </c>
      <c r="K119" s="34" t="s">
        <v>311</v>
      </c>
      <c r="L119" s="73"/>
      <c r="M119" s="76" t="s">
        <v>228</v>
      </c>
      <c r="N119" s="77" t="n">
        <f aca="false">IF(AND($M119="Y",Assumptions!$B$10=1),Assumptions!$B$53,$I119+$J119+Scenarios!$F$8)</f>
        <v>46332</v>
      </c>
      <c r="O119" s="67" t="n">
        <f aca="false">IF(AND($M119="Y",Assumptions!$B$10=1),$G119*(1-Assumptions!$B$52),$G119)</f>
        <v>28.1</v>
      </c>
      <c r="P119" s="72" t="str">
        <f aca="false">IF(AND($M119="Y",Assumptions!$B$10=1),"Invoice factoring - advance received",$D119)</f>
        <v>Collections - automotive Tier-1 OEM</v>
      </c>
      <c r="Q119" s="34" t="str">
        <f aca="false">IF(AND($M119="Y",Assumptions!$B$10=1),"Fixed","Trade")</f>
        <v>Trade</v>
      </c>
      <c r="R119" s="78" t="s">
        <v>314</v>
      </c>
    </row>
    <row r="120" customFormat="false" ht="12.75" hidden="false" customHeight="true" outlineLevel="0" collapsed="false">
      <c r="A120" s="71"/>
      <c r="B120" s="70" t="s">
        <v>170</v>
      </c>
      <c r="C120" s="71" t="s">
        <v>167</v>
      </c>
      <c r="D120" s="72" t="s">
        <v>111</v>
      </c>
      <c r="E120" s="49" t="s">
        <v>201</v>
      </c>
      <c r="F120" s="66" t="n">
        <f aca="false">$H$21</f>
        <v>46262</v>
      </c>
      <c r="G120" s="74" t="n">
        <f aca="false">ROUND($G$21*$F$7,1)</f>
        <v>119.4</v>
      </c>
      <c r="H120" s="75" t="n">
        <f aca="false">$G$7</f>
        <v>75</v>
      </c>
      <c r="I120" s="68" t="n">
        <f aca="false">F120+H120</f>
        <v>46337</v>
      </c>
      <c r="J120" s="75" t="n">
        <f aca="false">$H$7</f>
        <v>2</v>
      </c>
      <c r="K120" s="34" t="s">
        <v>311</v>
      </c>
      <c r="L120" s="73"/>
      <c r="M120" s="76" t="s">
        <v>228</v>
      </c>
      <c r="N120" s="77" t="n">
        <f aca="false">IF(AND($M120="Y",Assumptions!$B$10=1),Assumptions!$B$53,$I120+$J120+Scenarios!$F$8)</f>
        <v>46339</v>
      </c>
      <c r="O120" s="67" t="n">
        <f aca="false">IF(AND($M120="Y",Assumptions!$B$10=1),$G120*(1-Assumptions!$B$52),$G120)</f>
        <v>119.4</v>
      </c>
      <c r="P120" s="72" t="str">
        <f aca="false">IF(AND($M120="Y",Assumptions!$B$10=1),"Invoice factoring - advance received",$D120)</f>
        <v>Collections - automotive Tier-1 OEM</v>
      </c>
      <c r="Q120" s="34" t="str">
        <f aca="false">IF(AND($M120="Y",Assumptions!$B$10=1),"Fixed","Trade")</f>
        <v>Trade</v>
      </c>
      <c r="R120" s="78" t="s">
        <v>314</v>
      </c>
    </row>
    <row r="121" customFormat="false" ht="12.75" hidden="false" customHeight="true" outlineLevel="0" collapsed="false">
      <c r="A121" s="71"/>
      <c r="B121" s="70" t="s">
        <v>170</v>
      </c>
      <c r="C121" s="71" t="s">
        <v>167</v>
      </c>
      <c r="D121" s="72" t="s">
        <v>111</v>
      </c>
      <c r="E121" s="49" t="s">
        <v>203</v>
      </c>
      <c r="F121" s="66" t="n">
        <f aca="false">$H$22</f>
        <v>46269</v>
      </c>
      <c r="G121" s="74" t="n">
        <f aca="false">ROUND($G$22*$F$7,1)</f>
        <v>147.6</v>
      </c>
      <c r="H121" s="75" t="n">
        <f aca="false">$G$7</f>
        <v>75</v>
      </c>
      <c r="I121" s="68" t="n">
        <f aca="false">F121+H121</f>
        <v>46344</v>
      </c>
      <c r="J121" s="75" t="n">
        <f aca="false">$H$7</f>
        <v>2</v>
      </c>
      <c r="K121" s="34" t="s">
        <v>311</v>
      </c>
      <c r="L121" s="73"/>
      <c r="M121" s="76" t="s">
        <v>228</v>
      </c>
      <c r="N121" s="77" t="n">
        <f aca="false">IF(AND($M121="Y",Assumptions!$B$10=1),Assumptions!$B$53,$I121+$J121+Scenarios!$F$8)</f>
        <v>46346</v>
      </c>
      <c r="O121" s="67" t="n">
        <f aca="false">IF(AND($M121="Y",Assumptions!$B$10=1),$G121*(1-Assumptions!$B$52),$G121)</f>
        <v>147.6</v>
      </c>
      <c r="P121" s="72" t="str">
        <f aca="false">IF(AND($M121="Y",Assumptions!$B$10=1),"Invoice factoring - advance received",$D121)</f>
        <v>Collections - automotive Tier-1 OEM</v>
      </c>
      <c r="Q121" s="34" t="str">
        <f aca="false">IF(AND($M121="Y",Assumptions!$B$10=1),"Fixed","Trade")</f>
        <v>Trade</v>
      </c>
      <c r="R121" s="78" t="s">
        <v>314</v>
      </c>
    </row>
    <row r="122" customFormat="false" ht="12.75" hidden="false" customHeight="true" outlineLevel="0" collapsed="false">
      <c r="A122" s="71"/>
      <c r="B122" s="70" t="s">
        <v>170</v>
      </c>
      <c r="C122" s="71" t="s">
        <v>167</v>
      </c>
      <c r="D122" s="72" t="s">
        <v>111</v>
      </c>
      <c r="E122" s="49" t="s">
        <v>204</v>
      </c>
      <c r="F122" s="66" t="n">
        <f aca="false">$H$23</f>
        <v>46276</v>
      </c>
      <c r="G122" s="74" t="n">
        <f aca="false">ROUND($G$23*$F$7,1)</f>
        <v>154.6</v>
      </c>
      <c r="H122" s="75" t="n">
        <f aca="false">$G$7</f>
        <v>75</v>
      </c>
      <c r="I122" s="68" t="n">
        <f aca="false">F122+H122</f>
        <v>46351</v>
      </c>
      <c r="J122" s="75" t="n">
        <f aca="false">$H$7</f>
        <v>2</v>
      </c>
      <c r="K122" s="34" t="s">
        <v>311</v>
      </c>
      <c r="L122" s="73"/>
      <c r="M122" s="76" t="s">
        <v>228</v>
      </c>
      <c r="N122" s="77" t="n">
        <f aca="false">IF(AND($M122="Y",Assumptions!$B$10=1),Assumptions!$B$53,$I122+$J122+Scenarios!$F$8)</f>
        <v>46353</v>
      </c>
      <c r="O122" s="67" t="n">
        <f aca="false">IF(AND($M122="Y",Assumptions!$B$10=1),$G122*(1-Assumptions!$B$52),$G122)</f>
        <v>154.6</v>
      </c>
      <c r="P122" s="72" t="str">
        <f aca="false">IF(AND($M122="Y",Assumptions!$B$10=1),"Invoice factoring - advance received",$D122)</f>
        <v>Collections - automotive Tier-1 OEM</v>
      </c>
      <c r="Q122" s="34" t="str">
        <f aca="false">IF(AND($M122="Y",Assumptions!$B$10=1),"Fixed","Trade")</f>
        <v>Trade</v>
      </c>
      <c r="R122" s="78" t="s">
        <v>314</v>
      </c>
    </row>
    <row r="123" customFormat="false" ht="12.75" hidden="false" customHeight="true" outlineLevel="0" collapsed="false">
      <c r="A123" s="71"/>
      <c r="B123" s="70" t="s">
        <v>170</v>
      </c>
      <c r="C123" s="71" t="s">
        <v>167</v>
      </c>
      <c r="D123" s="72" t="s">
        <v>111</v>
      </c>
      <c r="E123" s="49" t="s">
        <v>206</v>
      </c>
      <c r="F123" s="66" t="n">
        <f aca="false">$H$24</f>
        <v>46283</v>
      </c>
      <c r="G123" s="74" t="n">
        <f aca="false">ROUND($G$24*$F$7,1)</f>
        <v>154.6</v>
      </c>
      <c r="H123" s="75" t="n">
        <f aca="false">$G$7</f>
        <v>75</v>
      </c>
      <c r="I123" s="68" t="n">
        <f aca="false">F123+H123</f>
        <v>46358</v>
      </c>
      <c r="J123" s="75" t="n">
        <f aca="false">$H$7</f>
        <v>2</v>
      </c>
      <c r="K123" s="34" t="s">
        <v>311</v>
      </c>
      <c r="L123" s="73"/>
      <c r="M123" s="76" t="s">
        <v>228</v>
      </c>
      <c r="N123" s="77" t="n">
        <f aca="false">IF(AND($M123="Y",Assumptions!$B$10=1),Assumptions!$B$53,$I123+$J123+Scenarios!$F$8)</f>
        <v>46360</v>
      </c>
      <c r="O123" s="67" t="n">
        <f aca="false">IF(AND($M123="Y",Assumptions!$B$10=1),$G123*(1-Assumptions!$B$52),$G123)</f>
        <v>154.6</v>
      </c>
      <c r="P123" s="72" t="str">
        <f aca="false">IF(AND($M123="Y",Assumptions!$B$10=1),"Invoice factoring - advance received",$D123)</f>
        <v>Collections - automotive Tier-1 OEM</v>
      </c>
      <c r="Q123" s="34" t="str">
        <f aca="false">IF(AND($M123="Y",Assumptions!$B$10=1),"Fixed","Trade")</f>
        <v>Trade</v>
      </c>
      <c r="R123" s="78" t="s">
        <v>314</v>
      </c>
    </row>
    <row r="124" customFormat="false" ht="12.75" hidden="false" customHeight="true" outlineLevel="0" collapsed="false">
      <c r="A124" s="71"/>
      <c r="B124" s="70" t="s">
        <v>170</v>
      </c>
      <c r="C124" s="71" t="s">
        <v>167</v>
      </c>
      <c r="D124" s="72" t="s">
        <v>111</v>
      </c>
      <c r="E124" s="49" t="s">
        <v>207</v>
      </c>
      <c r="F124" s="66" t="n">
        <f aca="false">$H$25</f>
        <v>46290</v>
      </c>
      <c r="G124" s="74" t="n">
        <f aca="false">ROUND($G$25*$F$7,1)</f>
        <v>151.8</v>
      </c>
      <c r="H124" s="75" t="n">
        <f aca="false">$G$7</f>
        <v>75</v>
      </c>
      <c r="I124" s="68" t="n">
        <f aca="false">F124+H124</f>
        <v>46365</v>
      </c>
      <c r="J124" s="75" t="n">
        <f aca="false">$H$7</f>
        <v>2</v>
      </c>
      <c r="K124" s="34" t="s">
        <v>311</v>
      </c>
      <c r="L124" s="73"/>
      <c r="M124" s="76" t="s">
        <v>228</v>
      </c>
      <c r="N124" s="77" t="n">
        <f aca="false">IF(AND($M124="Y",Assumptions!$B$10=1),Assumptions!$B$53,$I124+$J124+Scenarios!$F$8)</f>
        <v>46367</v>
      </c>
      <c r="O124" s="67" t="n">
        <f aca="false">IF(AND($M124="Y",Assumptions!$B$10=1),$G124*(1-Assumptions!$B$52),$G124)</f>
        <v>151.8</v>
      </c>
      <c r="P124" s="72" t="str">
        <f aca="false">IF(AND($M124="Y",Assumptions!$B$10=1),"Invoice factoring - advance received",$D124)</f>
        <v>Collections - automotive Tier-1 OEM</v>
      </c>
      <c r="Q124" s="34" t="str">
        <f aca="false">IF(AND($M124="Y",Assumptions!$B$10=1),"Fixed","Trade")</f>
        <v>Trade</v>
      </c>
      <c r="R124" s="78" t="s">
        <v>314</v>
      </c>
    </row>
    <row r="125" customFormat="false" ht="12.75" hidden="false" customHeight="true" outlineLevel="0" collapsed="false">
      <c r="A125" s="71"/>
      <c r="B125" s="70" t="s">
        <v>170</v>
      </c>
      <c r="C125" s="71" t="s">
        <v>167</v>
      </c>
      <c r="D125" s="72" t="s">
        <v>111</v>
      </c>
      <c r="E125" s="49" t="s">
        <v>208</v>
      </c>
      <c r="F125" s="66" t="n">
        <f aca="false">$H$26</f>
        <v>46297</v>
      </c>
      <c r="G125" s="74" t="n">
        <f aca="false">ROUND($G$26*$F$7,1)</f>
        <v>147.6</v>
      </c>
      <c r="H125" s="75" t="n">
        <f aca="false">$G$7</f>
        <v>75</v>
      </c>
      <c r="I125" s="68" t="n">
        <f aca="false">F125+H125</f>
        <v>46372</v>
      </c>
      <c r="J125" s="75" t="n">
        <f aca="false">$H$7</f>
        <v>2</v>
      </c>
      <c r="K125" s="34" t="s">
        <v>311</v>
      </c>
      <c r="L125" s="73"/>
      <c r="M125" s="76" t="s">
        <v>228</v>
      </c>
      <c r="N125" s="77" t="n">
        <f aca="false">IF(AND($M125="Y",Assumptions!$B$10=1),Assumptions!$B$53,$I125+$J125+Scenarios!$F$8)</f>
        <v>46374</v>
      </c>
      <c r="O125" s="67" t="n">
        <f aca="false">IF(AND($M125="Y",Assumptions!$B$10=1),$G125*(1-Assumptions!$B$52),$G125)</f>
        <v>147.6</v>
      </c>
      <c r="P125" s="72" t="str">
        <f aca="false">IF(AND($M125="Y",Assumptions!$B$10=1),"Invoice factoring - advance received",$D125)</f>
        <v>Collections - automotive Tier-1 OEM</v>
      </c>
      <c r="Q125" s="34" t="str">
        <f aca="false">IF(AND($M125="Y",Assumptions!$B$10=1),"Fixed","Trade")</f>
        <v>Trade</v>
      </c>
      <c r="R125" s="78" t="s">
        <v>314</v>
      </c>
    </row>
    <row r="126" customFormat="false" ht="12.75" hidden="false" customHeight="true" outlineLevel="0" collapsed="false">
      <c r="A126" s="71"/>
      <c r="B126" s="70" t="s">
        <v>170</v>
      </c>
      <c r="C126" s="71" t="s">
        <v>167</v>
      </c>
      <c r="D126" s="72" t="s">
        <v>111</v>
      </c>
      <c r="E126" s="49" t="s">
        <v>209</v>
      </c>
      <c r="F126" s="66" t="n">
        <f aca="false">$H$27</f>
        <v>46304</v>
      </c>
      <c r="G126" s="74" t="n">
        <f aca="false">ROUND($G$27*$F$7,1)</f>
        <v>147.6</v>
      </c>
      <c r="H126" s="75" t="n">
        <f aca="false">$G$7</f>
        <v>75</v>
      </c>
      <c r="I126" s="68" t="n">
        <f aca="false">F126+H126</f>
        <v>46379</v>
      </c>
      <c r="J126" s="75" t="n">
        <f aca="false">$H$7</f>
        <v>2</v>
      </c>
      <c r="K126" s="34" t="s">
        <v>311</v>
      </c>
      <c r="L126" s="73"/>
      <c r="M126" s="76" t="s">
        <v>228</v>
      </c>
      <c r="N126" s="77" t="n">
        <f aca="false">IF(AND($M126="Y",Assumptions!$B$10=1),Assumptions!$B$53,$I126+$J126+Scenarios!$F$8)</f>
        <v>46381</v>
      </c>
      <c r="O126" s="67" t="n">
        <f aca="false">IF(AND($M126="Y",Assumptions!$B$10=1),$G126*(1-Assumptions!$B$52),$G126)</f>
        <v>147.6</v>
      </c>
      <c r="P126" s="72" t="str">
        <f aca="false">IF(AND($M126="Y",Assumptions!$B$10=1),"Invoice factoring - advance received",$D126)</f>
        <v>Collections - automotive Tier-1 OEM</v>
      </c>
      <c r="Q126" s="34" t="str">
        <f aca="false">IF(AND($M126="Y",Assumptions!$B$10=1),"Fixed","Trade")</f>
        <v>Trade</v>
      </c>
      <c r="R126" s="78" t="s">
        <v>314</v>
      </c>
    </row>
    <row r="127" customFormat="false" ht="12.75" hidden="false" customHeight="true" outlineLevel="0" collapsed="false">
      <c r="A127" s="71"/>
      <c r="B127" s="70" t="s">
        <v>170</v>
      </c>
      <c r="C127" s="71" t="s">
        <v>167</v>
      </c>
      <c r="D127" s="72" t="s">
        <v>111</v>
      </c>
      <c r="E127" s="49" t="s">
        <v>210</v>
      </c>
      <c r="F127" s="66" t="n">
        <f aca="false">$H$28</f>
        <v>46311</v>
      </c>
      <c r="G127" s="74" t="n">
        <f aca="false">ROUND($G$28*$F$7,1)</f>
        <v>143.3</v>
      </c>
      <c r="H127" s="75" t="n">
        <f aca="false">$G$7</f>
        <v>75</v>
      </c>
      <c r="I127" s="68" t="n">
        <f aca="false">F127+H127</f>
        <v>46386</v>
      </c>
      <c r="J127" s="75" t="n">
        <f aca="false">$H$7</f>
        <v>2</v>
      </c>
      <c r="K127" s="34" t="s">
        <v>311</v>
      </c>
      <c r="L127" s="73"/>
      <c r="M127" s="76" t="s">
        <v>228</v>
      </c>
      <c r="N127" s="77" t="n">
        <f aca="false">IF(AND($M127="Y",Assumptions!$B$10=1),Assumptions!$B$53,$I127+$J127+Scenarios!$F$8)</f>
        <v>46388</v>
      </c>
      <c r="O127" s="67" t="n">
        <f aca="false">IF(AND($M127="Y",Assumptions!$B$10=1),$G127*(1-Assumptions!$B$52),$G127)</f>
        <v>143.3</v>
      </c>
      <c r="P127" s="72" t="str">
        <f aca="false">IF(AND($M127="Y",Assumptions!$B$10=1),"Invoice factoring - advance received",$D127)</f>
        <v>Collections - automotive Tier-1 OEM</v>
      </c>
      <c r="Q127" s="34" t="str">
        <f aca="false">IF(AND($M127="Y",Assumptions!$B$10=1),"Fixed","Trade")</f>
        <v>Trade</v>
      </c>
      <c r="R127" s="78" t="s">
        <v>314</v>
      </c>
    </row>
    <row r="128" customFormat="false" ht="12.75" hidden="false" customHeight="true" outlineLevel="0" collapsed="false">
      <c r="A128" s="71"/>
      <c r="B128" s="70" t="s">
        <v>170</v>
      </c>
      <c r="C128" s="71" t="s">
        <v>167</v>
      </c>
      <c r="D128" s="72" t="s">
        <v>111</v>
      </c>
      <c r="E128" s="49" t="s">
        <v>211</v>
      </c>
      <c r="F128" s="66" t="n">
        <f aca="false">$H$29</f>
        <v>46318</v>
      </c>
      <c r="G128" s="74" t="n">
        <f aca="false">ROUND($G$29*$F$7,1)</f>
        <v>140.5</v>
      </c>
      <c r="H128" s="75" t="n">
        <f aca="false">$G$7</f>
        <v>75</v>
      </c>
      <c r="I128" s="68" t="n">
        <f aca="false">F128+H128</f>
        <v>46393</v>
      </c>
      <c r="J128" s="75" t="n">
        <f aca="false">$H$7</f>
        <v>2</v>
      </c>
      <c r="K128" s="34" t="s">
        <v>311</v>
      </c>
      <c r="L128" s="73"/>
      <c r="M128" s="76" t="s">
        <v>228</v>
      </c>
      <c r="N128" s="77" t="n">
        <f aca="false">IF(AND($M128="Y",Assumptions!$B$10=1),Assumptions!$B$53,$I128+$J128+Scenarios!$F$8)</f>
        <v>46395</v>
      </c>
      <c r="O128" s="67" t="n">
        <f aca="false">IF(AND($M128="Y",Assumptions!$B$10=1),$G128*(1-Assumptions!$B$52),$G128)</f>
        <v>140.5</v>
      </c>
      <c r="P128" s="72" t="str">
        <f aca="false">IF(AND($M128="Y",Assumptions!$B$10=1),"Invoice factoring - advance received",$D128)</f>
        <v>Collections - automotive Tier-1 OEM</v>
      </c>
      <c r="Q128" s="34" t="str">
        <f aca="false">IF(AND($M128="Y",Assumptions!$B$10=1),"Fixed","Trade")</f>
        <v>Trade</v>
      </c>
      <c r="R128" s="78" t="s">
        <v>314</v>
      </c>
    </row>
    <row r="129" customFormat="false" ht="12.75" hidden="false" customHeight="true" outlineLevel="0" collapsed="false">
      <c r="A129" s="71"/>
      <c r="B129" s="70" t="s">
        <v>172</v>
      </c>
      <c r="C129" s="71" t="s">
        <v>173</v>
      </c>
      <c r="D129" s="72" t="s">
        <v>111</v>
      </c>
      <c r="E129" s="49" t="s">
        <v>195</v>
      </c>
      <c r="F129" s="66" t="n">
        <f aca="false">$H$17</f>
        <v>46234</v>
      </c>
      <c r="G129" s="74" t="n">
        <f aca="false">ROUND($G$17*$F$8,1)</f>
        <v>80.3</v>
      </c>
      <c r="H129" s="75" t="n">
        <f aca="false">$G$8</f>
        <v>60</v>
      </c>
      <c r="I129" s="68" t="n">
        <f aca="false">F129+H129</f>
        <v>46294</v>
      </c>
      <c r="J129" s="75" t="n">
        <f aca="false">$H$8</f>
        <v>9</v>
      </c>
      <c r="K129" s="34" t="s">
        <v>311</v>
      </c>
      <c r="L129" s="73"/>
      <c r="M129" s="76" t="s">
        <v>228</v>
      </c>
      <c r="N129" s="77" t="n">
        <f aca="false">IF(AND($M129="Y",Assumptions!$B$10=1),Assumptions!$B$53,$I129+$J129+Scenarios!$F$8)</f>
        <v>46303</v>
      </c>
      <c r="O129" s="67" t="n">
        <f aca="false">IF(AND($M129="Y",Assumptions!$B$10=1),$G129*(1-Assumptions!$B$52),$G129)</f>
        <v>80.3</v>
      </c>
      <c r="P129" s="72" t="str">
        <f aca="false">IF(AND($M129="Y",Assumptions!$B$10=1),"Invoice factoring - advance received",$D129)</f>
        <v>Collections - automotive Tier-1 OEM</v>
      </c>
      <c r="Q129" s="34" t="str">
        <f aca="false">IF(AND($M129="Y",Assumptions!$B$10=1),"Fixed","Trade")</f>
        <v>Trade</v>
      </c>
      <c r="R129" s="78" t="s">
        <v>314</v>
      </c>
    </row>
    <row r="130" customFormat="false" ht="12.75" hidden="false" customHeight="true" outlineLevel="0" collapsed="false">
      <c r="A130" s="71"/>
      <c r="B130" s="70" t="s">
        <v>172</v>
      </c>
      <c r="C130" s="71" t="s">
        <v>173</v>
      </c>
      <c r="D130" s="72" t="s">
        <v>111</v>
      </c>
      <c r="E130" s="49" t="s">
        <v>197</v>
      </c>
      <c r="F130" s="66" t="n">
        <f aca="false">$H$18</f>
        <v>46241</v>
      </c>
      <c r="G130" s="74" t="n">
        <f aca="false">ROUND($G$18*$F$8,1)</f>
        <v>81.9</v>
      </c>
      <c r="H130" s="75" t="n">
        <f aca="false">$G$8</f>
        <v>60</v>
      </c>
      <c r="I130" s="68" t="n">
        <f aca="false">F130+H130</f>
        <v>46301</v>
      </c>
      <c r="J130" s="75" t="n">
        <f aca="false">$H$8</f>
        <v>9</v>
      </c>
      <c r="K130" s="34" t="s">
        <v>311</v>
      </c>
      <c r="L130" s="73"/>
      <c r="M130" s="76" t="s">
        <v>228</v>
      </c>
      <c r="N130" s="77" t="n">
        <f aca="false">IF(AND($M130="Y",Assumptions!$B$10=1),Assumptions!$B$53,$I130+$J130+Scenarios!$F$8)</f>
        <v>46310</v>
      </c>
      <c r="O130" s="67" t="n">
        <f aca="false">IF(AND($M130="Y",Assumptions!$B$10=1),$G130*(1-Assumptions!$B$52),$G130)</f>
        <v>81.9</v>
      </c>
      <c r="P130" s="72" t="str">
        <f aca="false">IF(AND($M130="Y",Assumptions!$B$10=1),"Invoice factoring - advance received",$D130)</f>
        <v>Collections - automotive Tier-1 OEM</v>
      </c>
      <c r="Q130" s="34" t="str">
        <f aca="false">IF(AND($M130="Y",Assumptions!$B$10=1),"Fixed","Trade")</f>
        <v>Trade</v>
      </c>
      <c r="R130" s="78" t="s">
        <v>314</v>
      </c>
    </row>
    <row r="131" customFormat="false" ht="12.75" hidden="false" customHeight="true" outlineLevel="0" collapsed="false">
      <c r="A131" s="71"/>
      <c r="B131" s="70" t="s">
        <v>172</v>
      </c>
      <c r="C131" s="71" t="s">
        <v>173</v>
      </c>
      <c r="D131" s="72" t="s">
        <v>111</v>
      </c>
      <c r="E131" s="49" t="s">
        <v>198</v>
      </c>
      <c r="F131" s="66" t="n">
        <f aca="false">$H$19</f>
        <v>46248</v>
      </c>
      <c r="G131" s="74" t="n">
        <f aca="false">ROUND($G$19*$F$8,1)</f>
        <v>16.1</v>
      </c>
      <c r="H131" s="75" t="n">
        <f aca="false">$G$8</f>
        <v>60</v>
      </c>
      <c r="I131" s="68" t="n">
        <f aca="false">F131+H131</f>
        <v>46308</v>
      </c>
      <c r="J131" s="75" t="n">
        <f aca="false">$H$8</f>
        <v>9</v>
      </c>
      <c r="K131" s="34" t="s">
        <v>311</v>
      </c>
      <c r="L131" s="73"/>
      <c r="M131" s="76" t="s">
        <v>228</v>
      </c>
      <c r="N131" s="77" t="n">
        <f aca="false">IF(AND($M131="Y",Assumptions!$B$10=1),Assumptions!$B$53,$I131+$J131+Scenarios!$F$8)</f>
        <v>46317</v>
      </c>
      <c r="O131" s="67" t="n">
        <f aca="false">IF(AND($M131="Y",Assumptions!$B$10=1),$G131*(1-Assumptions!$B$52),$G131)</f>
        <v>16.1</v>
      </c>
      <c r="P131" s="72" t="str">
        <f aca="false">IF(AND($M131="Y",Assumptions!$B$10=1),"Invoice factoring - advance received",$D131)</f>
        <v>Collections - automotive Tier-1 OEM</v>
      </c>
      <c r="Q131" s="34" t="str">
        <f aca="false">IF(AND($M131="Y",Assumptions!$B$10=1),"Fixed","Trade")</f>
        <v>Trade</v>
      </c>
      <c r="R131" s="78" t="s">
        <v>314</v>
      </c>
    </row>
    <row r="132" customFormat="false" ht="12.75" hidden="false" customHeight="true" outlineLevel="0" collapsed="false">
      <c r="A132" s="71"/>
      <c r="B132" s="70" t="s">
        <v>172</v>
      </c>
      <c r="C132" s="71" t="s">
        <v>173</v>
      </c>
      <c r="D132" s="72" t="s">
        <v>111</v>
      </c>
      <c r="E132" s="49" t="s">
        <v>200</v>
      </c>
      <c r="F132" s="66" t="n">
        <f aca="false">$H$20</f>
        <v>46255</v>
      </c>
      <c r="G132" s="74" t="n">
        <f aca="false">ROUND($G$20*$F$8,1)</f>
        <v>16.1</v>
      </c>
      <c r="H132" s="75" t="n">
        <f aca="false">$G$8</f>
        <v>60</v>
      </c>
      <c r="I132" s="68" t="n">
        <f aca="false">F132+H132</f>
        <v>46315</v>
      </c>
      <c r="J132" s="75" t="n">
        <f aca="false">$H$8</f>
        <v>9</v>
      </c>
      <c r="K132" s="34" t="s">
        <v>311</v>
      </c>
      <c r="L132" s="73"/>
      <c r="M132" s="76" t="s">
        <v>228</v>
      </c>
      <c r="N132" s="77" t="n">
        <f aca="false">IF(AND($M132="Y",Assumptions!$B$10=1),Assumptions!$B$53,$I132+$J132+Scenarios!$F$8)</f>
        <v>46324</v>
      </c>
      <c r="O132" s="67" t="n">
        <f aca="false">IF(AND($M132="Y",Assumptions!$B$10=1),$G132*(1-Assumptions!$B$52),$G132)</f>
        <v>16.1</v>
      </c>
      <c r="P132" s="72" t="str">
        <f aca="false">IF(AND($M132="Y",Assumptions!$B$10=1),"Invoice factoring - advance received",$D132)</f>
        <v>Collections - automotive Tier-1 OEM</v>
      </c>
      <c r="Q132" s="34" t="str">
        <f aca="false">IF(AND($M132="Y",Assumptions!$B$10=1),"Fixed","Trade")</f>
        <v>Trade</v>
      </c>
      <c r="R132" s="78" t="s">
        <v>314</v>
      </c>
    </row>
    <row r="133" customFormat="false" ht="12.75" hidden="false" customHeight="true" outlineLevel="0" collapsed="false">
      <c r="A133" s="71"/>
      <c r="B133" s="70" t="s">
        <v>172</v>
      </c>
      <c r="C133" s="71" t="s">
        <v>173</v>
      </c>
      <c r="D133" s="72" t="s">
        <v>111</v>
      </c>
      <c r="E133" s="49" t="s">
        <v>201</v>
      </c>
      <c r="F133" s="66" t="n">
        <f aca="false">$H$21</f>
        <v>46262</v>
      </c>
      <c r="G133" s="74" t="n">
        <f aca="false">ROUND($G$21*$F$8,1)</f>
        <v>68.3</v>
      </c>
      <c r="H133" s="75" t="n">
        <f aca="false">$G$8</f>
        <v>60</v>
      </c>
      <c r="I133" s="68" t="n">
        <f aca="false">F133+H133</f>
        <v>46322</v>
      </c>
      <c r="J133" s="75" t="n">
        <f aca="false">$H$8</f>
        <v>9</v>
      </c>
      <c r="K133" s="34" t="s">
        <v>311</v>
      </c>
      <c r="L133" s="73"/>
      <c r="M133" s="76" t="s">
        <v>228</v>
      </c>
      <c r="N133" s="77" t="n">
        <f aca="false">IF(AND($M133="Y",Assumptions!$B$10=1),Assumptions!$B$53,$I133+$J133+Scenarios!$F$8)</f>
        <v>46331</v>
      </c>
      <c r="O133" s="67" t="n">
        <f aca="false">IF(AND($M133="Y",Assumptions!$B$10=1),$G133*(1-Assumptions!$B$52),$G133)</f>
        <v>68.3</v>
      </c>
      <c r="P133" s="72" t="str">
        <f aca="false">IF(AND($M133="Y",Assumptions!$B$10=1),"Invoice factoring - advance received",$D133)</f>
        <v>Collections - automotive Tier-1 OEM</v>
      </c>
      <c r="Q133" s="34" t="str">
        <f aca="false">IF(AND($M133="Y",Assumptions!$B$10=1),"Fixed","Trade")</f>
        <v>Trade</v>
      </c>
      <c r="R133" s="78" t="s">
        <v>314</v>
      </c>
    </row>
    <row r="134" customFormat="false" ht="12.75" hidden="false" customHeight="true" outlineLevel="0" collapsed="false">
      <c r="A134" s="71"/>
      <c r="B134" s="70" t="s">
        <v>172</v>
      </c>
      <c r="C134" s="71" t="s">
        <v>173</v>
      </c>
      <c r="D134" s="72" t="s">
        <v>111</v>
      </c>
      <c r="E134" s="49" t="s">
        <v>203</v>
      </c>
      <c r="F134" s="66" t="n">
        <f aca="false">$H$22</f>
        <v>46269</v>
      </c>
      <c r="G134" s="74" t="n">
        <f aca="false">ROUND($G$22*$F$8,1)</f>
        <v>84.3</v>
      </c>
      <c r="H134" s="75" t="n">
        <f aca="false">$G$8</f>
        <v>60</v>
      </c>
      <c r="I134" s="68" t="n">
        <f aca="false">F134+H134</f>
        <v>46329</v>
      </c>
      <c r="J134" s="75" t="n">
        <f aca="false">$H$8</f>
        <v>9</v>
      </c>
      <c r="K134" s="34" t="s">
        <v>311</v>
      </c>
      <c r="L134" s="73"/>
      <c r="M134" s="76" t="s">
        <v>228</v>
      </c>
      <c r="N134" s="77" t="n">
        <f aca="false">IF(AND($M134="Y",Assumptions!$B$10=1),Assumptions!$B$53,$I134+$J134+Scenarios!$F$8)</f>
        <v>46338</v>
      </c>
      <c r="O134" s="67" t="n">
        <f aca="false">IF(AND($M134="Y",Assumptions!$B$10=1),$G134*(1-Assumptions!$B$52),$G134)</f>
        <v>84.3</v>
      </c>
      <c r="P134" s="72" t="str">
        <f aca="false">IF(AND($M134="Y",Assumptions!$B$10=1),"Invoice factoring - advance received",$D134)</f>
        <v>Collections - automotive Tier-1 OEM</v>
      </c>
      <c r="Q134" s="34" t="str">
        <f aca="false">IF(AND($M134="Y",Assumptions!$B$10=1),"Fixed","Trade")</f>
        <v>Trade</v>
      </c>
      <c r="R134" s="78" t="s">
        <v>314</v>
      </c>
    </row>
    <row r="135" customFormat="false" ht="12.75" hidden="false" customHeight="true" outlineLevel="0" collapsed="false">
      <c r="A135" s="71"/>
      <c r="B135" s="70" t="s">
        <v>172</v>
      </c>
      <c r="C135" s="71" t="s">
        <v>173</v>
      </c>
      <c r="D135" s="72" t="s">
        <v>111</v>
      </c>
      <c r="E135" s="49" t="s">
        <v>204</v>
      </c>
      <c r="F135" s="66" t="n">
        <f aca="false">$H$23</f>
        <v>46276</v>
      </c>
      <c r="G135" s="74" t="n">
        <f aca="false">ROUND($G$23*$F$8,1)</f>
        <v>88.3</v>
      </c>
      <c r="H135" s="75" t="n">
        <f aca="false">$G$8</f>
        <v>60</v>
      </c>
      <c r="I135" s="68" t="n">
        <f aca="false">F135+H135</f>
        <v>46336</v>
      </c>
      <c r="J135" s="75" t="n">
        <f aca="false">$H$8</f>
        <v>9</v>
      </c>
      <c r="K135" s="34" t="s">
        <v>311</v>
      </c>
      <c r="L135" s="73"/>
      <c r="M135" s="76" t="s">
        <v>228</v>
      </c>
      <c r="N135" s="77" t="n">
        <f aca="false">IF(AND($M135="Y",Assumptions!$B$10=1),Assumptions!$B$53,$I135+$J135+Scenarios!$F$8)</f>
        <v>46345</v>
      </c>
      <c r="O135" s="67" t="n">
        <f aca="false">IF(AND($M135="Y",Assumptions!$B$10=1),$G135*(1-Assumptions!$B$52),$G135)</f>
        <v>88.3</v>
      </c>
      <c r="P135" s="72" t="str">
        <f aca="false">IF(AND($M135="Y",Assumptions!$B$10=1),"Invoice factoring - advance received",$D135)</f>
        <v>Collections - automotive Tier-1 OEM</v>
      </c>
      <c r="Q135" s="34" t="str">
        <f aca="false">IF(AND($M135="Y",Assumptions!$B$10=1),"Fixed","Trade")</f>
        <v>Trade</v>
      </c>
      <c r="R135" s="78" t="s">
        <v>314</v>
      </c>
    </row>
    <row r="136" customFormat="false" ht="12.75" hidden="false" customHeight="true" outlineLevel="0" collapsed="false">
      <c r="A136" s="71"/>
      <c r="B136" s="70" t="s">
        <v>172</v>
      </c>
      <c r="C136" s="71" t="s">
        <v>173</v>
      </c>
      <c r="D136" s="72" t="s">
        <v>111</v>
      </c>
      <c r="E136" s="49" t="s">
        <v>206</v>
      </c>
      <c r="F136" s="66" t="n">
        <f aca="false">$H$24</f>
        <v>46283</v>
      </c>
      <c r="G136" s="74" t="n">
        <f aca="false">ROUND($G$24*$F$8,1)</f>
        <v>88.3</v>
      </c>
      <c r="H136" s="75" t="n">
        <f aca="false">$G$8</f>
        <v>60</v>
      </c>
      <c r="I136" s="68" t="n">
        <f aca="false">F136+H136</f>
        <v>46343</v>
      </c>
      <c r="J136" s="75" t="n">
        <f aca="false">$H$8</f>
        <v>9</v>
      </c>
      <c r="K136" s="34" t="s">
        <v>311</v>
      </c>
      <c r="L136" s="73"/>
      <c r="M136" s="76" t="s">
        <v>228</v>
      </c>
      <c r="N136" s="77" t="n">
        <f aca="false">IF(AND($M136="Y",Assumptions!$B$10=1),Assumptions!$B$53,$I136+$J136+Scenarios!$F$8)</f>
        <v>46352</v>
      </c>
      <c r="O136" s="67" t="n">
        <f aca="false">IF(AND($M136="Y",Assumptions!$B$10=1),$G136*(1-Assumptions!$B$52),$G136)</f>
        <v>88.3</v>
      </c>
      <c r="P136" s="72" t="str">
        <f aca="false">IF(AND($M136="Y",Assumptions!$B$10=1),"Invoice factoring - advance received",$D136)</f>
        <v>Collections - automotive Tier-1 OEM</v>
      </c>
      <c r="Q136" s="34" t="str">
        <f aca="false">IF(AND($M136="Y",Assumptions!$B$10=1),"Fixed","Trade")</f>
        <v>Trade</v>
      </c>
      <c r="R136" s="78" t="s">
        <v>314</v>
      </c>
    </row>
    <row r="137" customFormat="false" ht="12.75" hidden="false" customHeight="true" outlineLevel="0" collapsed="false">
      <c r="A137" s="71"/>
      <c r="B137" s="70" t="s">
        <v>172</v>
      </c>
      <c r="C137" s="71" t="s">
        <v>173</v>
      </c>
      <c r="D137" s="72" t="s">
        <v>111</v>
      </c>
      <c r="E137" s="49" t="s">
        <v>207</v>
      </c>
      <c r="F137" s="66" t="n">
        <f aca="false">$H$25</f>
        <v>46290</v>
      </c>
      <c r="G137" s="74" t="n">
        <f aca="false">ROUND($G$25*$F$8,1)</f>
        <v>86.7</v>
      </c>
      <c r="H137" s="75" t="n">
        <f aca="false">$G$8</f>
        <v>60</v>
      </c>
      <c r="I137" s="68" t="n">
        <f aca="false">F137+H137</f>
        <v>46350</v>
      </c>
      <c r="J137" s="75" t="n">
        <f aca="false">$H$8</f>
        <v>9</v>
      </c>
      <c r="K137" s="34" t="s">
        <v>311</v>
      </c>
      <c r="L137" s="73"/>
      <c r="M137" s="76" t="s">
        <v>228</v>
      </c>
      <c r="N137" s="77" t="n">
        <f aca="false">IF(AND($M137="Y",Assumptions!$B$10=1),Assumptions!$B$53,$I137+$J137+Scenarios!$F$8)</f>
        <v>46359</v>
      </c>
      <c r="O137" s="67" t="n">
        <f aca="false">IF(AND($M137="Y",Assumptions!$B$10=1),$G137*(1-Assumptions!$B$52),$G137)</f>
        <v>86.7</v>
      </c>
      <c r="P137" s="72" t="str">
        <f aca="false">IF(AND($M137="Y",Assumptions!$B$10=1),"Invoice factoring - advance received",$D137)</f>
        <v>Collections - automotive Tier-1 OEM</v>
      </c>
      <c r="Q137" s="34" t="str">
        <f aca="false">IF(AND($M137="Y",Assumptions!$B$10=1),"Fixed","Trade")</f>
        <v>Trade</v>
      </c>
      <c r="R137" s="78" t="s">
        <v>314</v>
      </c>
    </row>
    <row r="138" customFormat="false" ht="12.75" hidden="false" customHeight="true" outlineLevel="0" collapsed="false">
      <c r="A138" s="71"/>
      <c r="B138" s="70" t="s">
        <v>172</v>
      </c>
      <c r="C138" s="71" t="s">
        <v>173</v>
      </c>
      <c r="D138" s="72" t="s">
        <v>111</v>
      </c>
      <c r="E138" s="49" t="s">
        <v>208</v>
      </c>
      <c r="F138" s="66" t="n">
        <f aca="false">$H$26</f>
        <v>46297</v>
      </c>
      <c r="G138" s="74" t="n">
        <f aca="false">ROUND($G$26*$F$8,1)</f>
        <v>84.3</v>
      </c>
      <c r="H138" s="75" t="n">
        <f aca="false">$G$8</f>
        <v>60</v>
      </c>
      <c r="I138" s="68" t="n">
        <f aca="false">F138+H138</f>
        <v>46357</v>
      </c>
      <c r="J138" s="75" t="n">
        <f aca="false">$H$8</f>
        <v>9</v>
      </c>
      <c r="K138" s="34" t="s">
        <v>311</v>
      </c>
      <c r="L138" s="73"/>
      <c r="M138" s="76" t="s">
        <v>228</v>
      </c>
      <c r="N138" s="77" t="n">
        <f aca="false">IF(AND($M138="Y",Assumptions!$B$10=1),Assumptions!$B$53,$I138+$J138+Scenarios!$F$8)</f>
        <v>46366</v>
      </c>
      <c r="O138" s="67" t="n">
        <f aca="false">IF(AND($M138="Y",Assumptions!$B$10=1),$G138*(1-Assumptions!$B$52),$G138)</f>
        <v>84.3</v>
      </c>
      <c r="P138" s="72" t="str">
        <f aca="false">IF(AND($M138="Y",Assumptions!$B$10=1),"Invoice factoring - advance received",$D138)</f>
        <v>Collections - automotive Tier-1 OEM</v>
      </c>
      <c r="Q138" s="34" t="str">
        <f aca="false">IF(AND($M138="Y",Assumptions!$B$10=1),"Fixed","Trade")</f>
        <v>Trade</v>
      </c>
      <c r="R138" s="78" t="s">
        <v>314</v>
      </c>
    </row>
    <row r="139" customFormat="false" ht="12.75" hidden="false" customHeight="true" outlineLevel="0" collapsed="false">
      <c r="A139" s="71"/>
      <c r="B139" s="70" t="s">
        <v>172</v>
      </c>
      <c r="C139" s="71" t="s">
        <v>173</v>
      </c>
      <c r="D139" s="72" t="s">
        <v>111</v>
      </c>
      <c r="E139" s="49" t="s">
        <v>209</v>
      </c>
      <c r="F139" s="66" t="n">
        <f aca="false">$H$27</f>
        <v>46304</v>
      </c>
      <c r="G139" s="74" t="n">
        <f aca="false">ROUND($G$27*$F$8,1)</f>
        <v>84.3</v>
      </c>
      <c r="H139" s="75" t="n">
        <f aca="false">$G$8</f>
        <v>60</v>
      </c>
      <c r="I139" s="68" t="n">
        <f aca="false">F139+H139</f>
        <v>46364</v>
      </c>
      <c r="J139" s="75" t="n">
        <f aca="false">$H$8</f>
        <v>9</v>
      </c>
      <c r="K139" s="34" t="s">
        <v>311</v>
      </c>
      <c r="L139" s="73"/>
      <c r="M139" s="76" t="s">
        <v>228</v>
      </c>
      <c r="N139" s="77" t="n">
        <f aca="false">IF(AND($M139="Y",Assumptions!$B$10=1),Assumptions!$B$53,$I139+$J139+Scenarios!$F$8)</f>
        <v>46373</v>
      </c>
      <c r="O139" s="67" t="n">
        <f aca="false">IF(AND($M139="Y",Assumptions!$B$10=1),$G139*(1-Assumptions!$B$52),$G139)</f>
        <v>84.3</v>
      </c>
      <c r="P139" s="72" t="str">
        <f aca="false">IF(AND($M139="Y",Assumptions!$B$10=1),"Invoice factoring - advance received",$D139)</f>
        <v>Collections - automotive Tier-1 OEM</v>
      </c>
      <c r="Q139" s="34" t="str">
        <f aca="false">IF(AND($M139="Y",Assumptions!$B$10=1),"Fixed","Trade")</f>
        <v>Trade</v>
      </c>
      <c r="R139" s="78" t="s">
        <v>314</v>
      </c>
    </row>
    <row r="140" customFormat="false" ht="12.75" hidden="false" customHeight="true" outlineLevel="0" collapsed="false">
      <c r="A140" s="71"/>
      <c r="B140" s="70" t="s">
        <v>172</v>
      </c>
      <c r="C140" s="71" t="s">
        <v>173</v>
      </c>
      <c r="D140" s="72" t="s">
        <v>111</v>
      </c>
      <c r="E140" s="49" t="s">
        <v>210</v>
      </c>
      <c r="F140" s="66" t="n">
        <f aca="false">$H$28</f>
        <v>46311</v>
      </c>
      <c r="G140" s="74" t="n">
        <f aca="false">ROUND($G$28*$F$8,1)</f>
        <v>81.9</v>
      </c>
      <c r="H140" s="75" t="n">
        <f aca="false">$G$8</f>
        <v>60</v>
      </c>
      <c r="I140" s="68" t="n">
        <f aca="false">F140+H140</f>
        <v>46371</v>
      </c>
      <c r="J140" s="75" t="n">
        <f aca="false">$H$8</f>
        <v>9</v>
      </c>
      <c r="K140" s="34" t="s">
        <v>311</v>
      </c>
      <c r="L140" s="73"/>
      <c r="M140" s="76" t="s">
        <v>228</v>
      </c>
      <c r="N140" s="77" t="n">
        <f aca="false">IF(AND($M140="Y",Assumptions!$B$10=1),Assumptions!$B$53,$I140+$J140+Scenarios!$F$8)</f>
        <v>46380</v>
      </c>
      <c r="O140" s="67" t="n">
        <f aca="false">IF(AND($M140="Y",Assumptions!$B$10=1),$G140*(1-Assumptions!$B$52),$G140)</f>
        <v>81.9</v>
      </c>
      <c r="P140" s="72" t="str">
        <f aca="false">IF(AND($M140="Y",Assumptions!$B$10=1),"Invoice factoring - advance received",$D140)</f>
        <v>Collections - automotive Tier-1 OEM</v>
      </c>
      <c r="Q140" s="34" t="str">
        <f aca="false">IF(AND($M140="Y",Assumptions!$B$10=1),"Fixed","Trade")</f>
        <v>Trade</v>
      </c>
      <c r="R140" s="78" t="s">
        <v>314</v>
      </c>
    </row>
    <row r="141" customFormat="false" ht="12.75" hidden="false" customHeight="true" outlineLevel="0" collapsed="false">
      <c r="A141" s="71"/>
      <c r="B141" s="70" t="s">
        <v>172</v>
      </c>
      <c r="C141" s="71" t="s">
        <v>173</v>
      </c>
      <c r="D141" s="72" t="s">
        <v>111</v>
      </c>
      <c r="E141" s="49" t="s">
        <v>211</v>
      </c>
      <c r="F141" s="66" t="n">
        <f aca="false">$H$29</f>
        <v>46318</v>
      </c>
      <c r="G141" s="74" t="n">
        <f aca="false">ROUND($G$29*$F$8,1)</f>
        <v>80.3</v>
      </c>
      <c r="H141" s="75" t="n">
        <f aca="false">$G$8</f>
        <v>60</v>
      </c>
      <c r="I141" s="68" t="n">
        <f aca="false">F141+H141</f>
        <v>46378</v>
      </c>
      <c r="J141" s="75" t="n">
        <f aca="false">$H$8</f>
        <v>9</v>
      </c>
      <c r="K141" s="34" t="s">
        <v>311</v>
      </c>
      <c r="L141" s="73"/>
      <c r="M141" s="76" t="s">
        <v>228</v>
      </c>
      <c r="N141" s="77" t="n">
        <f aca="false">IF(AND($M141="Y",Assumptions!$B$10=1),Assumptions!$B$53,$I141+$J141+Scenarios!$F$8)</f>
        <v>46387</v>
      </c>
      <c r="O141" s="67" t="n">
        <f aca="false">IF(AND($M141="Y",Assumptions!$B$10=1),$G141*(1-Assumptions!$B$52),$G141)</f>
        <v>80.3</v>
      </c>
      <c r="P141" s="72" t="str">
        <f aca="false">IF(AND($M141="Y",Assumptions!$B$10=1),"Invoice factoring - advance received",$D141)</f>
        <v>Collections - automotive Tier-1 OEM</v>
      </c>
      <c r="Q141" s="34" t="str">
        <f aca="false">IF(AND($M141="Y",Assumptions!$B$10=1),"Fixed","Trade")</f>
        <v>Trade</v>
      </c>
      <c r="R141" s="78" t="s">
        <v>314</v>
      </c>
    </row>
    <row r="142" customFormat="false" ht="12.75" hidden="false" customHeight="true" outlineLevel="0" collapsed="false">
      <c r="A142" s="71"/>
      <c r="B142" s="70" t="s">
        <v>175</v>
      </c>
      <c r="C142" s="71" t="s">
        <v>176</v>
      </c>
      <c r="D142" s="72" t="s">
        <v>112</v>
      </c>
      <c r="E142" s="49" t="s">
        <v>195</v>
      </c>
      <c r="F142" s="66" t="n">
        <f aca="false">$H$17</f>
        <v>46234</v>
      </c>
      <c r="G142" s="74" t="n">
        <f aca="false">ROUND($G$17*$F$9,1)</f>
        <v>93.7</v>
      </c>
      <c r="H142" s="75" t="n">
        <f aca="false">$G$9</f>
        <v>60</v>
      </c>
      <c r="I142" s="68" t="n">
        <f aca="false">F142+H142</f>
        <v>46294</v>
      </c>
      <c r="J142" s="75" t="n">
        <f aca="false">$H$9</f>
        <v>6</v>
      </c>
      <c r="K142" s="34" t="s">
        <v>311</v>
      </c>
      <c r="L142" s="73"/>
      <c r="M142" s="76" t="s">
        <v>228</v>
      </c>
      <c r="N142" s="77" t="n">
        <f aca="false">IF(AND($M142="Y",Assumptions!$B$10=1),Assumptions!$B$53,$I142+$J142+Scenarios!$F$8)</f>
        <v>46300</v>
      </c>
      <c r="O142" s="67" t="n">
        <f aca="false">IF(AND($M142="Y",Assumptions!$B$10=1),$G142*(1-Assumptions!$B$52),$G142)</f>
        <v>93.7</v>
      </c>
      <c r="P142" s="72" t="str">
        <f aca="false">IF(AND($M142="Y",Assumptions!$B$10=1),"Invoice factoring - advance received",$D142)</f>
        <v>Collections - industrial OEM</v>
      </c>
      <c r="Q142" s="34" t="str">
        <f aca="false">IF(AND($M142="Y",Assumptions!$B$10=1),"Fixed","Trade")</f>
        <v>Trade</v>
      </c>
      <c r="R142" s="78" t="s">
        <v>314</v>
      </c>
    </row>
    <row r="143" customFormat="false" ht="12.75" hidden="false" customHeight="true" outlineLevel="0" collapsed="false">
      <c r="A143" s="71"/>
      <c r="B143" s="70" t="s">
        <v>175</v>
      </c>
      <c r="C143" s="71" t="s">
        <v>176</v>
      </c>
      <c r="D143" s="72" t="s">
        <v>112</v>
      </c>
      <c r="E143" s="49" t="s">
        <v>197</v>
      </c>
      <c r="F143" s="66" t="n">
        <f aca="false">$H$18</f>
        <v>46241</v>
      </c>
      <c r="G143" s="74" t="n">
        <f aca="false">ROUND($G$18*$F$9,1)</f>
        <v>95.6</v>
      </c>
      <c r="H143" s="75" t="n">
        <f aca="false">$G$9</f>
        <v>60</v>
      </c>
      <c r="I143" s="68" t="n">
        <f aca="false">F143+H143</f>
        <v>46301</v>
      </c>
      <c r="J143" s="75" t="n">
        <f aca="false">$H$9</f>
        <v>6</v>
      </c>
      <c r="K143" s="34" t="s">
        <v>311</v>
      </c>
      <c r="L143" s="73"/>
      <c r="M143" s="76" t="s">
        <v>228</v>
      </c>
      <c r="N143" s="77" t="n">
        <f aca="false">IF(AND($M143="Y",Assumptions!$B$10=1),Assumptions!$B$53,$I143+$J143+Scenarios!$F$8)</f>
        <v>46307</v>
      </c>
      <c r="O143" s="67" t="n">
        <f aca="false">IF(AND($M143="Y",Assumptions!$B$10=1),$G143*(1-Assumptions!$B$52),$G143)</f>
        <v>95.6</v>
      </c>
      <c r="P143" s="72" t="str">
        <f aca="false">IF(AND($M143="Y",Assumptions!$B$10=1),"Invoice factoring - advance received",$D143)</f>
        <v>Collections - industrial OEM</v>
      </c>
      <c r="Q143" s="34" t="str">
        <f aca="false">IF(AND($M143="Y",Assumptions!$B$10=1),"Fixed","Trade")</f>
        <v>Trade</v>
      </c>
      <c r="R143" s="78" t="s">
        <v>314</v>
      </c>
    </row>
    <row r="144" customFormat="false" ht="12.75" hidden="false" customHeight="true" outlineLevel="0" collapsed="false">
      <c r="A144" s="71"/>
      <c r="B144" s="70" t="s">
        <v>175</v>
      </c>
      <c r="C144" s="71" t="s">
        <v>176</v>
      </c>
      <c r="D144" s="72" t="s">
        <v>112</v>
      </c>
      <c r="E144" s="49" t="s">
        <v>198</v>
      </c>
      <c r="F144" s="66" t="n">
        <f aca="false">$H$19</f>
        <v>46248</v>
      </c>
      <c r="G144" s="74" t="n">
        <f aca="false">ROUND($G$19*$F$9,1)</f>
        <v>18.7</v>
      </c>
      <c r="H144" s="75" t="n">
        <f aca="false">$G$9</f>
        <v>60</v>
      </c>
      <c r="I144" s="68" t="n">
        <f aca="false">F144+H144</f>
        <v>46308</v>
      </c>
      <c r="J144" s="75" t="n">
        <f aca="false">$H$9</f>
        <v>6</v>
      </c>
      <c r="K144" s="34" t="s">
        <v>311</v>
      </c>
      <c r="L144" s="73"/>
      <c r="M144" s="76" t="s">
        <v>228</v>
      </c>
      <c r="N144" s="77" t="n">
        <f aca="false">IF(AND($M144="Y",Assumptions!$B$10=1),Assumptions!$B$53,$I144+$J144+Scenarios!$F$8)</f>
        <v>46314</v>
      </c>
      <c r="O144" s="67" t="n">
        <f aca="false">IF(AND($M144="Y",Assumptions!$B$10=1),$G144*(1-Assumptions!$B$52),$G144)</f>
        <v>18.7</v>
      </c>
      <c r="P144" s="72" t="str">
        <f aca="false">IF(AND($M144="Y",Assumptions!$B$10=1),"Invoice factoring - advance received",$D144)</f>
        <v>Collections - industrial OEM</v>
      </c>
      <c r="Q144" s="34" t="str">
        <f aca="false">IF(AND($M144="Y",Assumptions!$B$10=1),"Fixed","Trade")</f>
        <v>Trade</v>
      </c>
      <c r="R144" s="78" t="s">
        <v>314</v>
      </c>
    </row>
    <row r="145" customFormat="false" ht="12.75" hidden="false" customHeight="true" outlineLevel="0" collapsed="false">
      <c r="A145" s="71"/>
      <c r="B145" s="70" t="s">
        <v>175</v>
      </c>
      <c r="C145" s="71" t="s">
        <v>176</v>
      </c>
      <c r="D145" s="72" t="s">
        <v>112</v>
      </c>
      <c r="E145" s="49" t="s">
        <v>200</v>
      </c>
      <c r="F145" s="66" t="n">
        <f aca="false">$H$20</f>
        <v>46255</v>
      </c>
      <c r="G145" s="74" t="n">
        <f aca="false">ROUND($G$20*$F$9,1)</f>
        <v>18.7</v>
      </c>
      <c r="H145" s="75" t="n">
        <f aca="false">$G$9</f>
        <v>60</v>
      </c>
      <c r="I145" s="68" t="n">
        <f aca="false">F145+H145</f>
        <v>46315</v>
      </c>
      <c r="J145" s="75" t="n">
        <f aca="false">$H$9</f>
        <v>6</v>
      </c>
      <c r="K145" s="34" t="s">
        <v>311</v>
      </c>
      <c r="L145" s="73"/>
      <c r="M145" s="76" t="s">
        <v>228</v>
      </c>
      <c r="N145" s="77" t="n">
        <f aca="false">IF(AND($M145="Y",Assumptions!$B$10=1),Assumptions!$B$53,$I145+$J145+Scenarios!$F$8)</f>
        <v>46321</v>
      </c>
      <c r="O145" s="67" t="n">
        <f aca="false">IF(AND($M145="Y",Assumptions!$B$10=1),$G145*(1-Assumptions!$B$52),$G145)</f>
        <v>18.7</v>
      </c>
      <c r="P145" s="72" t="str">
        <f aca="false">IF(AND($M145="Y",Assumptions!$B$10=1),"Invoice factoring - advance received",$D145)</f>
        <v>Collections - industrial OEM</v>
      </c>
      <c r="Q145" s="34" t="str">
        <f aca="false">IF(AND($M145="Y",Assumptions!$B$10=1),"Fixed","Trade")</f>
        <v>Trade</v>
      </c>
      <c r="R145" s="78" t="s">
        <v>314</v>
      </c>
    </row>
    <row r="146" customFormat="false" ht="12.75" hidden="false" customHeight="true" outlineLevel="0" collapsed="false">
      <c r="A146" s="71"/>
      <c r="B146" s="70" t="s">
        <v>175</v>
      </c>
      <c r="C146" s="71" t="s">
        <v>176</v>
      </c>
      <c r="D146" s="72" t="s">
        <v>112</v>
      </c>
      <c r="E146" s="49" t="s">
        <v>201</v>
      </c>
      <c r="F146" s="66" t="n">
        <f aca="false">$H$21</f>
        <v>46262</v>
      </c>
      <c r="G146" s="74" t="n">
        <f aca="false">ROUND($G$21*$F$9,1)</f>
        <v>79.6</v>
      </c>
      <c r="H146" s="75" t="n">
        <f aca="false">$G$9</f>
        <v>60</v>
      </c>
      <c r="I146" s="68" t="n">
        <f aca="false">F146+H146</f>
        <v>46322</v>
      </c>
      <c r="J146" s="75" t="n">
        <f aca="false">$H$9</f>
        <v>6</v>
      </c>
      <c r="K146" s="34" t="s">
        <v>311</v>
      </c>
      <c r="L146" s="73"/>
      <c r="M146" s="76" t="s">
        <v>228</v>
      </c>
      <c r="N146" s="77" t="n">
        <f aca="false">IF(AND($M146="Y",Assumptions!$B$10=1),Assumptions!$B$53,$I146+$J146+Scenarios!$F$8)</f>
        <v>46328</v>
      </c>
      <c r="O146" s="67" t="n">
        <f aca="false">IF(AND($M146="Y",Assumptions!$B$10=1),$G146*(1-Assumptions!$B$52),$G146)</f>
        <v>79.6</v>
      </c>
      <c r="P146" s="72" t="str">
        <f aca="false">IF(AND($M146="Y",Assumptions!$B$10=1),"Invoice factoring - advance received",$D146)</f>
        <v>Collections - industrial OEM</v>
      </c>
      <c r="Q146" s="34" t="str">
        <f aca="false">IF(AND($M146="Y",Assumptions!$B$10=1),"Fixed","Trade")</f>
        <v>Trade</v>
      </c>
      <c r="R146" s="78" t="s">
        <v>314</v>
      </c>
    </row>
    <row r="147" customFormat="false" ht="12.75" hidden="false" customHeight="true" outlineLevel="0" collapsed="false">
      <c r="A147" s="71"/>
      <c r="B147" s="70" t="s">
        <v>175</v>
      </c>
      <c r="C147" s="71" t="s">
        <v>176</v>
      </c>
      <c r="D147" s="72" t="s">
        <v>112</v>
      </c>
      <c r="E147" s="49" t="s">
        <v>203</v>
      </c>
      <c r="F147" s="66" t="n">
        <f aca="false">$H$22</f>
        <v>46269</v>
      </c>
      <c r="G147" s="74" t="n">
        <f aca="false">ROUND($G$22*$F$9,1)</f>
        <v>98.4</v>
      </c>
      <c r="H147" s="75" t="n">
        <f aca="false">$G$9</f>
        <v>60</v>
      </c>
      <c r="I147" s="68" t="n">
        <f aca="false">F147+H147</f>
        <v>46329</v>
      </c>
      <c r="J147" s="75" t="n">
        <f aca="false">$H$9</f>
        <v>6</v>
      </c>
      <c r="K147" s="34" t="s">
        <v>311</v>
      </c>
      <c r="L147" s="73"/>
      <c r="M147" s="76" t="s">
        <v>228</v>
      </c>
      <c r="N147" s="77" t="n">
        <f aca="false">IF(AND($M147="Y",Assumptions!$B$10=1),Assumptions!$B$53,$I147+$J147+Scenarios!$F$8)</f>
        <v>46335</v>
      </c>
      <c r="O147" s="67" t="n">
        <f aca="false">IF(AND($M147="Y",Assumptions!$B$10=1),$G147*(1-Assumptions!$B$52),$G147)</f>
        <v>98.4</v>
      </c>
      <c r="P147" s="72" t="str">
        <f aca="false">IF(AND($M147="Y",Assumptions!$B$10=1),"Invoice factoring - advance received",$D147)</f>
        <v>Collections - industrial OEM</v>
      </c>
      <c r="Q147" s="34" t="str">
        <f aca="false">IF(AND($M147="Y",Assumptions!$B$10=1),"Fixed","Trade")</f>
        <v>Trade</v>
      </c>
      <c r="R147" s="78" t="s">
        <v>314</v>
      </c>
    </row>
    <row r="148" customFormat="false" ht="12.75" hidden="false" customHeight="true" outlineLevel="0" collapsed="false">
      <c r="A148" s="71"/>
      <c r="B148" s="70" t="s">
        <v>175</v>
      </c>
      <c r="C148" s="71" t="s">
        <v>176</v>
      </c>
      <c r="D148" s="72" t="s">
        <v>112</v>
      </c>
      <c r="E148" s="49" t="s">
        <v>204</v>
      </c>
      <c r="F148" s="66" t="n">
        <f aca="false">$H$23</f>
        <v>46276</v>
      </c>
      <c r="G148" s="74" t="n">
        <f aca="false">ROUND($G$23*$F$9,1)</f>
        <v>103.1</v>
      </c>
      <c r="H148" s="75" t="n">
        <f aca="false">$G$9</f>
        <v>60</v>
      </c>
      <c r="I148" s="68" t="n">
        <f aca="false">F148+H148</f>
        <v>46336</v>
      </c>
      <c r="J148" s="75" t="n">
        <f aca="false">$H$9</f>
        <v>6</v>
      </c>
      <c r="K148" s="34" t="s">
        <v>311</v>
      </c>
      <c r="L148" s="73"/>
      <c r="M148" s="76" t="s">
        <v>228</v>
      </c>
      <c r="N148" s="77" t="n">
        <f aca="false">IF(AND($M148="Y",Assumptions!$B$10=1),Assumptions!$B$53,$I148+$J148+Scenarios!$F$8)</f>
        <v>46342</v>
      </c>
      <c r="O148" s="67" t="n">
        <f aca="false">IF(AND($M148="Y",Assumptions!$B$10=1),$G148*(1-Assumptions!$B$52),$G148)</f>
        <v>103.1</v>
      </c>
      <c r="P148" s="72" t="str">
        <f aca="false">IF(AND($M148="Y",Assumptions!$B$10=1),"Invoice factoring - advance received",$D148)</f>
        <v>Collections - industrial OEM</v>
      </c>
      <c r="Q148" s="34" t="str">
        <f aca="false">IF(AND($M148="Y",Assumptions!$B$10=1),"Fixed","Trade")</f>
        <v>Trade</v>
      </c>
      <c r="R148" s="78" t="s">
        <v>314</v>
      </c>
    </row>
    <row r="149" customFormat="false" ht="12.75" hidden="false" customHeight="true" outlineLevel="0" collapsed="false">
      <c r="A149" s="71"/>
      <c r="B149" s="70" t="s">
        <v>175</v>
      </c>
      <c r="C149" s="71" t="s">
        <v>176</v>
      </c>
      <c r="D149" s="72" t="s">
        <v>112</v>
      </c>
      <c r="E149" s="49" t="s">
        <v>206</v>
      </c>
      <c r="F149" s="66" t="n">
        <f aca="false">$H$24</f>
        <v>46283</v>
      </c>
      <c r="G149" s="74" t="n">
        <f aca="false">ROUND($G$24*$F$9,1)</f>
        <v>103.1</v>
      </c>
      <c r="H149" s="75" t="n">
        <f aca="false">$G$9</f>
        <v>60</v>
      </c>
      <c r="I149" s="68" t="n">
        <f aca="false">F149+H149</f>
        <v>46343</v>
      </c>
      <c r="J149" s="75" t="n">
        <f aca="false">$H$9</f>
        <v>6</v>
      </c>
      <c r="K149" s="34" t="s">
        <v>311</v>
      </c>
      <c r="L149" s="73"/>
      <c r="M149" s="76" t="s">
        <v>228</v>
      </c>
      <c r="N149" s="77" t="n">
        <f aca="false">IF(AND($M149="Y",Assumptions!$B$10=1),Assumptions!$B$53,$I149+$J149+Scenarios!$F$8)</f>
        <v>46349</v>
      </c>
      <c r="O149" s="67" t="n">
        <f aca="false">IF(AND($M149="Y",Assumptions!$B$10=1),$G149*(1-Assumptions!$B$52),$G149)</f>
        <v>103.1</v>
      </c>
      <c r="P149" s="72" t="str">
        <f aca="false">IF(AND($M149="Y",Assumptions!$B$10=1),"Invoice factoring - advance received",$D149)</f>
        <v>Collections - industrial OEM</v>
      </c>
      <c r="Q149" s="34" t="str">
        <f aca="false">IF(AND($M149="Y",Assumptions!$B$10=1),"Fixed","Trade")</f>
        <v>Trade</v>
      </c>
      <c r="R149" s="78" t="s">
        <v>314</v>
      </c>
    </row>
    <row r="150" customFormat="false" ht="12.75" hidden="false" customHeight="true" outlineLevel="0" collapsed="false">
      <c r="A150" s="71"/>
      <c r="B150" s="70" t="s">
        <v>175</v>
      </c>
      <c r="C150" s="71" t="s">
        <v>176</v>
      </c>
      <c r="D150" s="72" t="s">
        <v>112</v>
      </c>
      <c r="E150" s="49" t="s">
        <v>207</v>
      </c>
      <c r="F150" s="66" t="n">
        <f aca="false">$H$25</f>
        <v>46290</v>
      </c>
      <c r="G150" s="74" t="n">
        <f aca="false">ROUND($G$25*$F$9,1)</f>
        <v>101.2</v>
      </c>
      <c r="H150" s="75" t="n">
        <f aca="false">$G$9</f>
        <v>60</v>
      </c>
      <c r="I150" s="68" t="n">
        <f aca="false">F150+H150</f>
        <v>46350</v>
      </c>
      <c r="J150" s="75" t="n">
        <f aca="false">$H$9</f>
        <v>6</v>
      </c>
      <c r="K150" s="34" t="s">
        <v>311</v>
      </c>
      <c r="L150" s="73"/>
      <c r="M150" s="76" t="s">
        <v>228</v>
      </c>
      <c r="N150" s="77" t="n">
        <f aca="false">IF(AND($M150="Y",Assumptions!$B$10=1),Assumptions!$B$53,$I150+$J150+Scenarios!$F$8)</f>
        <v>46356</v>
      </c>
      <c r="O150" s="67" t="n">
        <f aca="false">IF(AND($M150="Y",Assumptions!$B$10=1),$G150*(1-Assumptions!$B$52),$G150)</f>
        <v>101.2</v>
      </c>
      <c r="P150" s="72" t="str">
        <f aca="false">IF(AND($M150="Y",Assumptions!$B$10=1),"Invoice factoring - advance received",$D150)</f>
        <v>Collections - industrial OEM</v>
      </c>
      <c r="Q150" s="34" t="str">
        <f aca="false">IF(AND($M150="Y",Assumptions!$B$10=1),"Fixed","Trade")</f>
        <v>Trade</v>
      </c>
      <c r="R150" s="78" t="s">
        <v>314</v>
      </c>
    </row>
    <row r="151" customFormat="false" ht="12.75" hidden="false" customHeight="true" outlineLevel="0" collapsed="false">
      <c r="A151" s="71"/>
      <c r="B151" s="70" t="s">
        <v>175</v>
      </c>
      <c r="C151" s="71" t="s">
        <v>176</v>
      </c>
      <c r="D151" s="72" t="s">
        <v>112</v>
      </c>
      <c r="E151" s="49" t="s">
        <v>208</v>
      </c>
      <c r="F151" s="66" t="n">
        <f aca="false">$H$26</f>
        <v>46297</v>
      </c>
      <c r="G151" s="74" t="n">
        <f aca="false">ROUND($G$26*$F$9,1)</f>
        <v>98.4</v>
      </c>
      <c r="H151" s="75" t="n">
        <f aca="false">$G$9</f>
        <v>60</v>
      </c>
      <c r="I151" s="68" t="n">
        <f aca="false">F151+H151</f>
        <v>46357</v>
      </c>
      <c r="J151" s="75" t="n">
        <f aca="false">$H$9</f>
        <v>6</v>
      </c>
      <c r="K151" s="34" t="s">
        <v>311</v>
      </c>
      <c r="L151" s="73"/>
      <c r="M151" s="76" t="s">
        <v>228</v>
      </c>
      <c r="N151" s="77" t="n">
        <f aca="false">IF(AND($M151="Y",Assumptions!$B$10=1),Assumptions!$B$53,$I151+$J151+Scenarios!$F$8)</f>
        <v>46363</v>
      </c>
      <c r="O151" s="67" t="n">
        <f aca="false">IF(AND($M151="Y",Assumptions!$B$10=1),$G151*(1-Assumptions!$B$52),$G151)</f>
        <v>98.4</v>
      </c>
      <c r="P151" s="72" t="str">
        <f aca="false">IF(AND($M151="Y",Assumptions!$B$10=1),"Invoice factoring - advance received",$D151)</f>
        <v>Collections - industrial OEM</v>
      </c>
      <c r="Q151" s="34" t="str">
        <f aca="false">IF(AND($M151="Y",Assumptions!$B$10=1),"Fixed","Trade")</f>
        <v>Trade</v>
      </c>
      <c r="R151" s="78" t="s">
        <v>314</v>
      </c>
    </row>
    <row r="152" customFormat="false" ht="12.75" hidden="false" customHeight="true" outlineLevel="0" collapsed="false">
      <c r="A152" s="71"/>
      <c r="B152" s="70" t="s">
        <v>175</v>
      </c>
      <c r="C152" s="71" t="s">
        <v>176</v>
      </c>
      <c r="D152" s="72" t="s">
        <v>112</v>
      </c>
      <c r="E152" s="49" t="s">
        <v>209</v>
      </c>
      <c r="F152" s="66" t="n">
        <f aca="false">$H$27</f>
        <v>46304</v>
      </c>
      <c r="G152" s="74" t="n">
        <f aca="false">ROUND($G$27*$F$9,1)</f>
        <v>98.4</v>
      </c>
      <c r="H152" s="75" t="n">
        <f aca="false">$G$9</f>
        <v>60</v>
      </c>
      <c r="I152" s="68" t="n">
        <f aca="false">F152+H152</f>
        <v>46364</v>
      </c>
      <c r="J152" s="75" t="n">
        <f aca="false">$H$9</f>
        <v>6</v>
      </c>
      <c r="K152" s="34" t="s">
        <v>311</v>
      </c>
      <c r="L152" s="73"/>
      <c r="M152" s="76" t="s">
        <v>228</v>
      </c>
      <c r="N152" s="77" t="n">
        <f aca="false">IF(AND($M152="Y",Assumptions!$B$10=1),Assumptions!$B$53,$I152+$J152+Scenarios!$F$8)</f>
        <v>46370</v>
      </c>
      <c r="O152" s="67" t="n">
        <f aca="false">IF(AND($M152="Y",Assumptions!$B$10=1),$G152*(1-Assumptions!$B$52),$G152)</f>
        <v>98.4</v>
      </c>
      <c r="P152" s="72" t="str">
        <f aca="false">IF(AND($M152="Y",Assumptions!$B$10=1),"Invoice factoring - advance received",$D152)</f>
        <v>Collections - industrial OEM</v>
      </c>
      <c r="Q152" s="34" t="str">
        <f aca="false">IF(AND($M152="Y",Assumptions!$B$10=1),"Fixed","Trade")</f>
        <v>Trade</v>
      </c>
      <c r="R152" s="78" t="s">
        <v>314</v>
      </c>
    </row>
    <row r="153" customFormat="false" ht="12.75" hidden="false" customHeight="true" outlineLevel="0" collapsed="false">
      <c r="A153" s="71"/>
      <c r="B153" s="70" t="s">
        <v>175</v>
      </c>
      <c r="C153" s="71" t="s">
        <v>176</v>
      </c>
      <c r="D153" s="72" t="s">
        <v>112</v>
      </c>
      <c r="E153" s="49" t="s">
        <v>210</v>
      </c>
      <c r="F153" s="66" t="n">
        <f aca="false">$H$28</f>
        <v>46311</v>
      </c>
      <c r="G153" s="74" t="n">
        <f aca="false">ROUND($G$28*$F$9,1)</f>
        <v>95.6</v>
      </c>
      <c r="H153" s="75" t="n">
        <f aca="false">$G$9</f>
        <v>60</v>
      </c>
      <c r="I153" s="68" t="n">
        <f aca="false">F153+H153</f>
        <v>46371</v>
      </c>
      <c r="J153" s="75" t="n">
        <f aca="false">$H$9</f>
        <v>6</v>
      </c>
      <c r="K153" s="34" t="s">
        <v>311</v>
      </c>
      <c r="L153" s="73"/>
      <c r="M153" s="76" t="s">
        <v>228</v>
      </c>
      <c r="N153" s="77" t="n">
        <f aca="false">IF(AND($M153="Y",Assumptions!$B$10=1),Assumptions!$B$53,$I153+$J153+Scenarios!$F$8)</f>
        <v>46377</v>
      </c>
      <c r="O153" s="67" t="n">
        <f aca="false">IF(AND($M153="Y",Assumptions!$B$10=1),$G153*(1-Assumptions!$B$52),$G153)</f>
        <v>95.6</v>
      </c>
      <c r="P153" s="72" t="str">
        <f aca="false">IF(AND($M153="Y",Assumptions!$B$10=1),"Invoice factoring - advance received",$D153)</f>
        <v>Collections - industrial OEM</v>
      </c>
      <c r="Q153" s="34" t="str">
        <f aca="false">IF(AND($M153="Y",Assumptions!$B$10=1),"Fixed","Trade")</f>
        <v>Trade</v>
      </c>
      <c r="R153" s="78" t="s">
        <v>314</v>
      </c>
    </row>
    <row r="154" customFormat="false" ht="12.75" hidden="false" customHeight="true" outlineLevel="0" collapsed="false">
      <c r="A154" s="71"/>
      <c r="B154" s="70" t="s">
        <v>175</v>
      </c>
      <c r="C154" s="71" t="s">
        <v>176</v>
      </c>
      <c r="D154" s="72" t="s">
        <v>112</v>
      </c>
      <c r="E154" s="49" t="s">
        <v>211</v>
      </c>
      <c r="F154" s="66" t="n">
        <f aca="false">$H$29</f>
        <v>46318</v>
      </c>
      <c r="G154" s="74" t="n">
        <f aca="false">ROUND($G$29*$F$9,1)</f>
        <v>93.7</v>
      </c>
      <c r="H154" s="75" t="n">
        <f aca="false">$G$9</f>
        <v>60</v>
      </c>
      <c r="I154" s="68" t="n">
        <f aca="false">F154+H154</f>
        <v>46378</v>
      </c>
      <c r="J154" s="75" t="n">
        <f aca="false">$H$9</f>
        <v>6</v>
      </c>
      <c r="K154" s="34" t="s">
        <v>311</v>
      </c>
      <c r="L154" s="73"/>
      <c r="M154" s="76" t="s">
        <v>228</v>
      </c>
      <c r="N154" s="77" t="n">
        <f aca="false">IF(AND($M154="Y",Assumptions!$B$10=1),Assumptions!$B$53,$I154+$J154+Scenarios!$F$8)</f>
        <v>46384</v>
      </c>
      <c r="O154" s="67" t="n">
        <f aca="false">IF(AND($M154="Y",Assumptions!$B$10=1),$G154*(1-Assumptions!$B$52),$G154)</f>
        <v>93.7</v>
      </c>
      <c r="P154" s="72" t="str">
        <f aca="false">IF(AND($M154="Y",Assumptions!$B$10=1),"Invoice factoring - advance received",$D154)</f>
        <v>Collections - industrial OEM</v>
      </c>
      <c r="Q154" s="34" t="str">
        <f aca="false">IF(AND($M154="Y",Assumptions!$B$10=1),"Fixed","Trade")</f>
        <v>Trade</v>
      </c>
      <c r="R154" s="78" t="s">
        <v>314</v>
      </c>
    </row>
    <row r="155" customFormat="false" ht="12.75" hidden="false" customHeight="true" outlineLevel="0" collapsed="false">
      <c r="A155" s="71"/>
      <c r="B155" s="70" t="s">
        <v>179</v>
      </c>
      <c r="C155" s="71" t="s">
        <v>180</v>
      </c>
      <c r="D155" s="72" t="s">
        <v>112</v>
      </c>
      <c r="E155" s="49" t="s">
        <v>195</v>
      </c>
      <c r="F155" s="66" t="n">
        <f aca="false">$H$17</f>
        <v>46234</v>
      </c>
      <c r="G155" s="74" t="n">
        <f aca="false">ROUND($G$17*$F$10,1)</f>
        <v>53.5</v>
      </c>
      <c r="H155" s="75" t="n">
        <f aca="false">$G$10</f>
        <v>45</v>
      </c>
      <c r="I155" s="68" t="n">
        <f aca="false">F155+H155</f>
        <v>46279</v>
      </c>
      <c r="J155" s="75" t="n">
        <f aca="false">$H$10</f>
        <v>3</v>
      </c>
      <c r="K155" s="34" t="s">
        <v>311</v>
      </c>
      <c r="L155" s="73"/>
      <c r="M155" s="76" t="s">
        <v>228</v>
      </c>
      <c r="N155" s="77" t="n">
        <f aca="false">IF(AND($M155="Y",Assumptions!$B$10=1),Assumptions!$B$53,$I155+$J155+Scenarios!$F$8)</f>
        <v>46282</v>
      </c>
      <c r="O155" s="67" t="n">
        <f aca="false">IF(AND($M155="Y",Assumptions!$B$10=1),$G155*(1-Assumptions!$B$52),$G155)</f>
        <v>53.5</v>
      </c>
      <c r="P155" s="72" t="str">
        <f aca="false">IF(AND($M155="Y",Assumptions!$B$10=1),"Invoice factoring - advance received",$D155)</f>
        <v>Collections - industrial OEM</v>
      </c>
      <c r="Q155" s="34" t="str">
        <f aca="false">IF(AND($M155="Y",Assumptions!$B$10=1),"Fixed","Trade")</f>
        <v>Trade</v>
      </c>
      <c r="R155" s="78" t="s">
        <v>314</v>
      </c>
    </row>
    <row r="156" customFormat="false" ht="12.75" hidden="false" customHeight="true" outlineLevel="0" collapsed="false">
      <c r="A156" s="71"/>
      <c r="B156" s="70" t="s">
        <v>179</v>
      </c>
      <c r="C156" s="71" t="s">
        <v>180</v>
      </c>
      <c r="D156" s="72" t="s">
        <v>112</v>
      </c>
      <c r="E156" s="49" t="s">
        <v>197</v>
      </c>
      <c r="F156" s="66" t="n">
        <f aca="false">$H$18</f>
        <v>46241</v>
      </c>
      <c r="G156" s="74" t="n">
        <f aca="false">ROUND($G$18*$F$10,1)</f>
        <v>54.6</v>
      </c>
      <c r="H156" s="75" t="n">
        <f aca="false">$G$10</f>
        <v>45</v>
      </c>
      <c r="I156" s="68" t="n">
        <f aca="false">F156+H156</f>
        <v>46286</v>
      </c>
      <c r="J156" s="75" t="n">
        <f aca="false">$H$10</f>
        <v>3</v>
      </c>
      <c r="K156" s="34" t="s">
        <v>311</v>
      </c>
      <c r="L156" s="73"/>
      <c r="M156" s="76" t="s">
        <v>228</v>
      </c>
      <c r="N156" s="77" t="n">
        <f aca="false">IF(AND($M156="Y",Assumptions!$B$10=1),Assumptions!$B$53,$I156+$J156+Scenarios!$F$8)</f>
        <v>46289</v>
      </c>
      <c r="O156" s="67" t="n">
        <f aca="false">IF(AND($M156="Y",Assumptions!$B$10=1),$G156*(1-Assumptions!$B$52),$G156)</f>
        <v>54.6</v>
      </c>
      <c r="P156" s="72" t="str">
        <f aca="false">IF(AND($M156="Y",Assumptions!$B$10=1),"Invoice factoring - advance received",$D156)</f>
        <v>Collections - industrial OEM</v>
      </c>
      <c r="Q156" s="34" t="str">
        <f aca="false">IF(AND($M156="Y",Assumptions!$B$10=1),"Fixed","Trade")</f>
        <v>Trade</v>
      </c>
      <c r="R156" s="78" t="s">
        <v>314</v>
      </c>
    </row>
    <row r="157" customFormat="false" ht="12.75" hidden="false" customHeight="true" outlineLevel="0" collapsed="false">
      <c r="A157" s="71"/>
      <c r="B157" s="70" t="s">
        <v>179</v>
      </c>
      <c r="C157" s="71" t="s">
        <v>180</v>
      </c>
      <c r="D157" s="72" t="s">
        <v>112</v>
      </c>
      <c r="E157" s="49" t="s">
        <v>198</v>
      </c>
      <c r="F157" s="66" t="n">
        <f aca="false">$H$19</f>
        <v>46248</v>
      </c>
      <c r="G157" s="74" t="n">
        <f aca="false">ROUND($G$19*$F$10,1)</f>
        <v>10.7</v>
      </c>
      <c r="H157" s="75" t="n">
        <f aca="false">$G$10</f>
        <v>45</v>
      </c>
      <c r="I157" s="68" t="n">
        <f aca="false">F157+H157</f>
        <v>46293</v>
      </c>
      <c r="J157" s="75" t="n">
        <f aca="false">$H$10</f>
        <v>3</v>
      </c>
      <c r="K157" s="34" t="s">
        <v>311</v>
      </c>
      <c r="L157" s="73"/>
      <c r="M157" s="76" t="s">
        <v>228</v>
      </c>
      <c r="N157" s="77" t="n">
        <f aca="false">IF(AND($M157="Y",Assumptions!$B$10=1),Assumptions!$B$53,$I157+$J157+Scenarios!$F$8)</f>
        <v>46296</v>
      </c>
      <c r="O157" s="67" t="n">
        <f aca="false">IF(AND($M157="Y",Assumptions!$B$10=1),$G157*(1-Assumptions!$B$52),$G157)</f>
        <v>10.7</v>
      </c>
      <c r="P157" s="72" t="str">
        <f aca="false">IF(AND($M157="Y",Assumptions!$B$10=1),"Invoice factoring - advance received",$D157)</f>
        <v>Collections - industrial OEM</v>
      </c>
      <c r="Q157" s="34" t="str">
        <f aca="false">IF(AND($M157="Y",Assumptions!$B$10=1),"Fixed","Trade")</f>
        <v>Trade</v>
      </c>
      <c r="R157" s="78" t="s">
        <v>314</v>
      </c>
    </row>
    <row r="158" customFormat="false" ht="12.75" hidden="false" customHeight="true" outlineLevel="0" collapsed="false">
      <c r="A158" s="71"/>
      <c r="B158" s="70" t="s">
        <v>179</v>
      </c>
      <c r="C158" s="71" t="s">
        <v>180</v>
      </c>
      <c r="D158" s="72" t="s">
        <v>112</v>
      </c>
      <c r="E158" s="49" t="s">
        <v>200</v>
      </c>
      <c r="F158" s="66" t="n">
        <f aca="false">$H$20</f>
        <v>46255</v>
      </c>
      <c r="G158" s="74" t="n">
        <f aca="false">ROUND($G$20*$F$10,1)</f>
        <v>10.7</v>
      </c>
      <c r="H158" s="75" t="n">
        <f aca="false">$G$10</f>
        <v>45</v>
      </c>
      <c r="I158" s="68" t="n">
        <f aca="false">F158+H158</f>
        <v>46300</v>
      </c>
      <c r="J158" s="75" t="n">
        <f aca="false">$H$10</f>
        <v>3</v>
      </c>
      <c r="K158" s="34" t="s">
        <v>311</v>
      </c>
      <c r="L158" s="73"/>
      <c r="M158" s="76" t="s">
        <v>228</v>
      </c>
      <c r="N158" s="77" t="n">
        <f aca="false">IF(AND($M158="Y",Assumptions!$B$10=1),Assumptions!$B$53,$I158+$J158+Scenarios!$F$8)</f>
        <v>46303</v>
      </c>
      <c r="O158" s="67" t="n">
        <f aca="false">IF(AND($M158="Y",Assumptions!$B$10=1),$G158*(1-Assumptions!$B$52),$G158)</f>
        <v>10.7</v>
      </c>
      <c r="P158" s="72" t="str">
        <f aca="false">IF(AND($M158="Y",Assumptions!$B$10=1),"Invoice factoring - advance received",$D158)</f>
        <v>Collections - industrial OEM</v>
      </c>
      <c r="Q158" s="34" t="str">
        <f aca="false">IF(AND($M158="Y",Assumptions!$B$10=1),"Fixed","Trade")</f>
        <v>Trade</v>
      </c>
      <c r="R158" s="78" t="s">
        <v>314</v>
      </c>
    </row>
    <row r="159" customFormat="false" ht="12.75" hidden="false" customHeight="true" outlineLevel="0" collapsed="false">
      <c r="A159" s="71"/>
      <c r="B159" s="70" t="s">
        <v>179</v>
      </c>
      <c r="C159" s="71" t="s">
        <v>180</v>
      </c>
      <c r="D159" s="72" t="s">
        <v>112</v>
      </c>
      <c r="E159" s="49" t="s">
        <v>201</v>
      </c>
      <c r="F159" s="66" t="n">
        <f aca="false">$H$21</f>
        <v>46262</v>
      </c>
      <c r="G159" s="74" t="n">
        <f aca="false">ROUND($G$21*$F$10,1)</f>
        <v>45.5</v>
      </c>
      <c r="H159" s="75" t="n">
        <f aca="false">$G$10</f>
        <v>45</v>
      </c>
      <c r="I159" s="68" t="n">
        <f aca="false">F159+H159</f>
        <v>46307</v>
      </c>
      <c r="J159" s="75" t="n">
        <f aca="false">$H$10</f>
        <v>3</v>
      </c>
      <c r="K159" s="34" t="s">
        <v>311</v>
      </c>
      <c r="L159" s="73"/>
      <c r="M159" s="76" t="s">
        <v>228</v>
      </c>
      <c r="N159" s="77" t="n">
        <f aca="false">IF(AND($M159="Y",Assumptions!$B$10=1),Assumptions!$B$53,$I159+$J159+Scenarios!$F$8)</f>
        <v>46310</v>
      </c>
      <c r="O159" s="67" t="n">
        <f aca="false">IF(AND($M159="Y",Assumptions!$B$10=1),$G159*(1-Assumptions!$B$52),$G159)</f>
        <v>45.5</v>
      </c>
      <c r="P159" s="72" t="str">
        <f aca="false">IF(AND($M159="Y",Assumptions!$B$10=1),"Invoice factoring - advance received",$D159)</f>
        <v>Collections - industrial OEM</v>
      </c>
      <c r="Q159" s="34" t="str">
        <f aca="false">IF(AND($M159="Y",Assumptions!$B$10=1),"Fixed","Trade")</f>
        <v>Trade</v>
      </c>
      <c r="R159" s="78" t="s">
        <v>314</v>
      </c>
    </row>
    <row r="160" customFormat="false" ht="12.75" hidden="false" customHeight="true" outlineLevel="0" collapsed="false">
      <c r="A160" s="71"/>
      <c r="B160" s="70" t="s">
        <v>179</v>
      </c>
      <c r="C160" s="71" t="s">
        <v>180</v>
      </c>
      <c r="D160" s="72" t="s">
        <v>112</v>
      </c>
      <c r="E160" s="49" t="s">
        <v>203</v>
      </c>
      <c r="F160" s="66" t="n">
        <f aca="false">$H$22</f>
        <v>46269</v>
      </c>
      <c r="G160" s="74" t="n">
        <f aca="false">ROUND($G$22*$F$10,1)</f>
        <v>56.2</v>
      </c>
      <c r="H160" s="75" t="n">
        <f aca="false">$G$10</f>
        <v>45</v>
      </c>
      <c r="I160" s="68" t="n">
        <f aca="false">F160+H160</f>
        <v>46314</v>
      </c>
      <c r="J160" s="75" t="n">
        <f aca="false">$H$10</f>
        <v>3</v>
      </c>
      <c r="K160" s="34" t="s">
        <v>311</v>
      </c>
      <c r="L160" s="73"/>
      <c r="M160" s="76" t="s">
        <v>228</v>
      </c>
      <c r="N160" s="77" t="n">
        <f aca="false">IF(AND($M160="Y",Assumptions!$B$10=1),Assumptions!$B$53,$I160+$J160+Scenarios!$F$8)</f>
        <v>46317</v>
      </c>
      <c r="O160" s="67" t="n">
        <f aca="false">IF(AND($M160="Y",Assumptions!$B$10=1),$G160*(1-Assumptions!$B$52),$G160)</f>
        <v>56.2</v>
      </c>
      <c r="P160" s="72" t="str">
        <f aca="false">IF(AND($M160="Y",Assumptions!$B$10=1),"Invoice factoring - advance received",$D160)</f>
        <v>Collections - industrial OEM</v>
      </c>
      <c r="Q160" s="34" t="str">
        <f aca="false">IF(AND($M160="Y",Assumptions!$B$10=1),"Fixed","Trade")</f>
        <v>Trade</v>
      </c>
      <c r="R160" s="78" t="s">
        <v>314</v>
      </c>
    </row>
    <row r="161" customFormat="false" ht="12.75" hidden="false" customHeight="true" outlineLevel="0" collapsed="false">
      <c r="A161" s="71"/>
      <c r="B161" s="70" t="s">
        <v>179</v>
      </c>
      <c r="C161" s="71" t="s">
        <v>180</v>
      </c>
      <c r="D161" s="72" t="s">
        <v>112</v>
      </c>
      <c r="E161" s="49" t="s">
        <v>204</v>
      </c>
      <c r="F161" s="66" t="n">
        <f aca="false">$H$23</f>
        <v>46276</v>
      </c>
      <c r="G161" s="74" t="n">
        <f aca="false">ROUND($G$23*$F$10,1)</f>
        <v>58.9</v>
      </c>
      <c r="H161" s="75" t="n">
        <f aca="false">$G$10</f>
        <v>45</v>
      </c>
      <c r="I161" s="68" t="n">
        <f aca="false">F161+H161</f>
        <v>46321</v>
      </c>
      <c r="J161" s="75" t="n">
        <f aca="false">$H$10</f>
        <v>3</v>
      </c>
      <c r="K161" s="34" t="s">
        <v>311</v>
      </c>
      <c r="L161" s="73"/>
      <c r="M161" s="76" t="s">
        <v>228</v>
      </c>
      <c r="N161" s="77" t="n">
        <f aca="false">IF(AND($M161="Y",Assumptions!$B$10=1),Assumptions!$B$53,$I161+$J161+Scenarios!$F$8)</f>
        <v>46324</v>
      </c>
      <c r="O161" s="67" t="n">
        <f aca="false">IF(AND($M161="Y",Assumptions!$B$10=1),$G161*(1-Assumptions!$B$52),$G161)</f>
        <v>58.9</v>
      </c>
      <c r="P161" s="72" t="str">
        <f aca="false">IF(AND($M161="Y",Assumptions!$B$10=1),"Invoice factoring - advance received",$D161)</f>
        <v>Collections - industrial OEM</v>
      </c>
      <c r="Q161" s="34" t="str">
        <f aca="false">IF(AND($M161="Y",Assumptions!$B$10=1),"Fixed","Trade")</f>
        <v>Trade</v>
      </c>
      <c r="R161" s="78" t="s">
        <v>314</v>
      </c>
    </row>
    <row r="162" customFormat="false" ht="12.75" hidden="false" customHeight="true" outlineLevel="0" collapsed="false">
      <c r="A162" s="71"/>
      <c r="B162" s="70" t="s">
        <v>179</v>
      </c>
      <c r="C162" s="71" t="s">
        <v>180</v>
      </c>
      <c r="D162" s="72" t="s">
        <v>112</v>
      </c>
      <c r="E162" s="49" t="s">
        <v>206</v>
      </c>
      <c r="F162" s="66" t="n">
        <f aca="false">$H$24</f>
        <v>46283</v>
      </c>
      <c r="G162" s="74" t="n">
        <f aca="false">ROUND($G$24*$F$10,1)</f>
        <v>58.9</v>
      </c>
      <c r="H162" s="75" t="n">
        <f aca="false">$G$10</f>
        <v>45</v>
      </c>
      <c r="I162" s="68" t="n">
        <f aca="false">F162+H162</f>
        <v>46328</v>
      </c>
      <c r="J162" s="75" t="n">
        <f aca="false">$H$10</f>
        <v>3</v>
      </c>
      <c r="K162" s="34" t="s">
        <v>311</v>
      </c>
      <c r="L162" s="73"/>
      <c r="M162" s="76" t="s">
        <v>228</v>
      </c>
      <c r="N162" s="77" t="n">
        <f aca="false">IF(AND($M162="Y",Assumptions!$B$10=1),Assumptions!$B$53,$I162+$J162+Scenarios!$F$8)</f>
        <v>46331</v>
      </c>
      <c r="O162" s="67" t="n">
        <f aca="false">IF(AND($M162="Y",Assumptions!$B$10=1),$G162*(1-Assumptions!$B$52),$G162)</f>
        <v>58.9</v>
      </c>
      <c r="P162" s="72" t="str">
        <f aca="false">IF(AND($M162="Y",Assumptions!$B$10=1),"Invoice factoring - advance received",$D162)</f>
        <v>Collections - industrial OEM</v>
      </c>
      <c r="Q162" s="34" t="str">
        <f aca="false">IF(AND($M162="Y",Assumptions!$B$10=1),"Fixed","Trade")</f>
        <v>Trade</v>
      </c>
      <c r="R162" s="78" t="s">
        <v>314</v>
      </c>
    </row>
    <row r="163" customFormat="false" ht="12.75" hidden="false" customHeight="true" outlineLevel="0" collapsed="false">
      <c r="A163" s="71"/>
      <c r="B163" s="70" t="s">
        <v>179</v>
      </c>
      <c r="C163" s="71" t="s">
        <v>180</v>
      </c>
      <c r="D163" s="72" t="s">
        <v>112</v>
      </c>
      <c r="E163" s="49" t="s">
        <v>207</v>
      </c>
      <c r="F163" s="66" t="n">
        <f aca="false">$H$25</f>
        <v>46290</v>
      </c>
      <c r="G163" s="74" t="n">
        <f aca="false">ROUND($G$25*$F$10,1)</f>
        <v>57.8</v>
      </c>
      <c r="H163" s="75" t="n">
        <f aca="false">$G$10</f>
        <v>45</v>
      </c>
      <c r="I163" s="68" t="n">
        <f aca="false">F163+H163</f>
        <v>46335</v>
      </c>
      <c r="J163" s="75" t="n">
        <f aca="false">$H$10</f>
        <v>3</v>
      </c>
      <c r="K163" s="34" t="s">
        <v>311</v>
      </c>
      <c r="L163" s="73"/>
      <c r="M163" s="76" t="s">
        <v>228</v>
      </c>
      <c r="N163" s="77" t="n">
        <f aca="false">IF(AND($M163="Y",Assumptions!$B$10=1),Assumptions!$B$53,$I163+$J163+Scenarios!$F$8)</f>
        <v>46338</v>
      </c>
      <c r="O163" s="67" t="n">
        <f aca="false">IF(AND($M163="Y",Assumptions!$B$10=1),$G163*(1-Assumptions!$B$52),$G163)</f>
        <v>57.8</v>
      </c>
      <c r="P163" s="72" t="str">
        <f aca="false">IF(AND($M163="Y",Assumptions!$B$10=1),"Invoice factoring - advance received",$D163)</f>
        <v>Collections - industrial OEM</v>
      </c>
      <c r="Q163" s="34" t="str">
        <f aca="false">IF(AND($M163="Y",Assumptions!$B$10=1),"Fixed","Trade")</f>
        <v>Trade</v>
      </c>
      <c r="R163" s="78" t="s">
        <v>314</v>
      </c>
    </row>
    <row r="164" customFormat="false" ht="12.75" hidden="false" customHeight="true" outlineLevel="0" collapsed="false">
      <c r="A164" s="71"/>
      <c r="B164" s="70" t="s">
        <v>179</v>
      </c>
      <c r="C164" s="71" t="s">
        <v>180</v>
      </c>
      <c r="D164" s="72" t="s">
        <v>112</v>
      </c>
      <c r="E164" s="49" t="s">
        <v>208</v>
      </c>
      <c r="F164" s="66" t="n">
        <f aca="false">$H$26</f>
        <v>46297</v>
      </c>
      <c r="G164" s="74" t="n">
        <f aca="false">ROUND($G$26*$F$10,1)</f>
        <v>56.2</v>
      </c>
      <c r="H164" s="75" t="n">
        <f aca="false">$G$10</f>
        <v>45</v>
      </c>
      <c r="I164" s="68" t="n">
        <f aca="false">F164+H164</f>
        <v>46342</v>
      </c>
      <c r="J164" s="75" t="n">
        <f aca="false">$H$10</f>
        <v>3</v>
      </c>
      <c r="K164" s="34" t="s">
        <v>311</v>
      </c>
      <c r="L164" s="73"/>
      <c r="M164" s="76" t="s">
        <v>228</v>
      </c>
      <c r="N164" s="77" t="n">
        <f aca="false">IF(AND($M164="Y",Assumptions!$B$10=1),Assumptions!$B$53,$I164+$J164+Scenarios!$F$8)</f>
        <v>46345</v>
      </c>
      <c r="O164" s="67" t="n">
        <f aca="false">IF(AND($M164="Y",Assumptions!$B$10=1),$G164*(1-Assumptions!$B$52),$G164)</f>
        <v>56.2</v>
      </c>
      <c r="P164" s="72" t="str">
        <f aca="false">IF(AND($M164="Y",Assumptions!$B$10=1),"Invoice factoring - advance received",$D164)</f>
        <v>Collections - industrial OEM</v>
      </c>
      <c r="Q164" s="34" t="str">
        <f aca="false">IF(AND($M164="Y",Assumptions!$B$10=1),"Fixed","Trade")</f>
        <v>Trade</v>
      </c>
      <c r="R164" s="78" t="s">
        <v>314</v>
      </c>
    </row>
    <row r="165" customFormat="false" ht="12.75" hidden="false" customHeight="true" outlineLevel="0" collapsed="false">
      <c r="A165" s="71"/>
      <c r="B165" s="70" t="s">
        <v>179</v>
      </c>
      <c r="C165" s="71" t="s">
        <v>180</v>
      </c>
      <c r="D165" s="72" t="s">
        <v>112</v>
      </c>
      <c r="E165" s="49" t="s">
        <v>209</v>
      </c>
      <c r="F165" s="66" t="n">
        <f aca="false">$H$27</f>
        <v>46304</v>
      </c>
      <c r="G165" s="74" t="n">
        <f aca="false">ROUND($G$27*$F$10,1)</f>
        <v>56.2</v>
      </c>
      <c r="H165" s="75" t="n">
        <f aca="false">$G$10</f>
        <v>45</v>
      </c>
      <c r="I165" s="68" t="n">
        <f aca="false">F165+H165</f>
        <v>46349</v>
      </c>
      <c r="J165" s="75" t="n">
        <f aca="false">$H$10</f>
        <v>3</v>
      </c>
      <c r="K165" s="34" t="s">
        <v>311</v>
      </c>
      <c r="L165" s="73"/>
      <c r="M165" s="76" t="s">
        <v>228</v>
      </c>
      <c r="N165" s="77" t="n">
        <f aca="false">IF(AND($M165="Y",Assumptions!$B$10=1),Assumptions!$B$53,$I165+$J165+Scenarios!$F$8)</f>
        <v>46352</v>
      </c>
      <c r="O165" s="67" t="n">
        <f aca="false">IF(AND($M165="Y",Assumptions!$B$10=1),$G165*(1-Assumptions!$B$52),$G165)</f>
        <v>56.2</v>
      </c>
      <c r="P165" s="72" t="str">
        <f aca="false">IF(AND($M165="Y",Assumptions!$B$10=1),"Invoice factoring - advance received",$D165)</f>
        <v>Collections - industrial OEM</v>
      </c>
      <c r="Q165" s="34" t="str">
        <f aca="false">IF(AND($M165="Y",Assumptions!$B$10=1),"Fixed","Trade")</f>
        <v>Trade</v>
      </c>
      <c r="R165" s="78" t="s">
        <v>314</v>
      </c>
    </row>
    <row r="166" customFormat="false" ht="12.75" hidden="false" customHeight="true" outlineLevel="0" collapsed="false">
      <c r="A166" s="71"/>
      <c r="B166" s="70" t="s">
        <v>179</v>
      </c>
      <c r="C166" s="71" t="s">
        <v>180</v>
      </c>
      <c r="D166" s="72" t="s">
        <v>112</v>
      </c>
      <c r="E166" s="49" t="s">
        <v>210</v>
      </c>
      <c r="F166" s="66" t="n">
        <f aca="false">$H$28</f>
        <v>46311</v>
      </c>
      <c r="G166" s="74" t="n">
        <f aca="false">ROUND($G$28*$F$10,1)</f>
        <v>54.6</v>
      </c>
      <c r="H166" s="75" t="n">
        <f aca="false">$G$10</f>
        <v>45</v>
      </c>
      <c r="I166" s="68" t="n">
        <f aca="false">F166+H166</f>
        <v>46356</v>
      </c>
      <c r="J166" s="75" t="n">
        <f aca="false">$H$10</f>
        <v>3</v>
      </c>
      <c r="K166" s="34" t="s">
        <v>311</v>
      </c>
      <c r="L166" s="73"/>
      <c r="M166" s="76" t="s">
        <v>228</v>
      </c>
      <c r="N166" s="77" t="n">
        <f aca="false">IF(AND($M166="Y",Assumptions!$B$10=1),Assumptions!$B$53,$I166+$J166+Scenarios!$F$8)</f>
        <v>46359</v>
      </c>
      <c r="O166" s="67" t="n">
        <f aca="false">IF(AND($M166="Y",Assumptions!$B$10=1),$G166*(1-Assumptions!$B$52),$G166)</f>
        <v>54.6</v>
      </c>
      <c r="P166" s="72" t="str">
        <f aca="false">IF(AND($M166="Y",Assumptions!$B$10=1),"Invoice factoring - advance received",$D166)</f>
        <v>Collections - industrial OEM</v>
      </c>
      <c r="Q166" s="34" t="str">
        <f aca="false">IF(AND($M166="Y",Assumptions!$B$10=1),"Fixed","Trade")</f>
        <v>Trade</v>
      </c>
      <c r="R166" s="78" t="s">
        <v>314</v>
      </c>
    </row>
    <row r="167" customFormat="false" ht="12.75" hidden="false" customHeight="true" outlineLevel="0" collapsed="false">
      <c r="A167" s="71"/>
      <c r="B167" s="70" t="s">
        <v>179</v>
      </c>
      <c r="C167" s="71" t="s">
        <v>180</v>
      </c>
      <c r="D167" s="72" t="s">
        <v>112</v>
      </c>
      <c r="E167" s="49" t="s">
        <v>211</v>
      </c>
      <c r="F167" s="66" t="n">
        <f aca="false">$H$29</f>
        <v>46318</v>
      </c>
      <c r="G167" s="74" t="n">
        <f aca="false">ROUND($G$29*$F$10,1)</f>
        <v>53.5</v>
      </c>
      <c r="H167" s="75" t="n">
        <f aca="false">$G$10</f>
        <v>45</v>
      </c>
      <c r="I167" s="68" t="n">
        <f aca="false">F167+H167</f>
        <v>46363</v>
      </c>
      <c r="J167" s="75" t="n">
        <f aca="false">$H$10</f>
        <v>3</v>
      </c>
      <c r="K167" s="34" t="s">
        <v>311</v>
      </c>
      <c r="L167" s="73"/>
      <c r="M167" s="76" t="s">
        <v>228</v>
      </c>
      <c r="N167" s="77" t="n">
        <f aca="false">IF(AND($M167="Y",Assumptions!$B$10=1),Assumptions!$B$53,$I167+$J167+Scenarios!$F$8)</f>
        <v>46366</v>
      </c>
      <c r="O167" s="67" t="n">
        <f aca="false">IF(AND($M167="Y",Assumptions!$B$10=1),$G167*(1-Assumptions!$B$52),$G167)</f>
        <v>53.5</v>
      </c>
      <c r="P167" s="72" t="str">
        <f aca="false">IF(AND($M167="Y",Assumptions!$B$10=1),"Invoice factoring - advance received",$D167)</f>
        <v>Collections - industrial OEM</v>
      </c>
      <c r="Q167" s="34" t="str">
        <f aca="false">IF(AND($M167="Y",Assumptions!$B$10=1),"Fixed","Trade")</f>
        <v>Trade</v>
      </c>
      <c r="R167" s="78" t="s">
        <v>314</v>
      </c>
    </row>
    <row r="168" customFormat="false" ht="12.75" hidden="false" customHeight="true" outlineLevel="0" collapsed="false">
      <c r="A168" s="71"/>
      <c r="B168" s="70" t="s">
        <v>182</v>
      </c>
      <c r="C168" s="71" t="s">
        <v>167</v>
      </c>
      <c r="D168" s="72" t="s">
        <v>112</v>
      </c>
      <c r="E168" s="49" t="s">
        <v>195</v>
      </c>
      <c r="F168" s="66" t="n">
        <f aca="false">$H$17</f>
        <v>46234</v>
      </c>
      <c r="G168" s="74" t="n">
        <f aca="false">ROUND($G$17*$F$11,1)</f>
        <v>46.8</v>
      </c>
      <c r="H168" s="75" t="n">
        <f aca="false">$G$11</f>
        <v>30</v>
      </c>
      <c r="I168" s="68" t="n">
        <f aca="false">F168+H168</f>
        <v>46264</v>
      </c>
      <c r="J168" s="75" t="n">
        <f aca="false">$H$11</f>
        <v>1</v>
      </c>
      <c r="K168" s="34" t="s">
        <v>311</v>
      </c>
      <c r="L168" s="73"/>
      <c r="M168" s="76" t="s">
        <v>228</v>
      </c>
      <c r="N168" s="77" t="n">
        <f aca="false">IF(AND($M168="Y",Assumptions!$B$10=1),Assumptions!$B$53,$I168+$J168+Scenarios!$F$8)</f>
        <v>46265</v>
      </c>
      <c r="O168" s="67" t="n">
        <f aca="false">IF(AND($M168="Y",Assumptions!$B$10=1),$G168*(1-Assumptions!$B$52),$G168)</f>
        <v>46.8</v>
      </c>
      <c r="P168" s="72" t="str">
        <f aca="false">IF(AND($M168="Y",Assumptions!$B$10=1),"Invoice factoring - advance received",$D168)</f>
        <v>Collections - industrial OEM</v>
      </c>
      <c r="Q168" s="34" t="str">
        <f aca="false">IF(AND($M168="Y",Assumptions!$B$10=1),"Fixed","Trade")</f>
        <v>Trade</v>
      </c>
      <c r="R168" s="78" t="s">
        <v>314</v>
      </c>
    </row>
    <row r="169" customFormat="false" ht="12.75" hidden="false" customHeight="true" outlineLevel="0" collapsed="false">
      <c r="A169" s="71"/>
      <c r="B169" s="70" t="s">
        <v>182</v>
      </c>
      <c r="C169" s="71" t="s">
        <v>167</v>
      </c>
      <c r="D169" s="72" t="s">
        <v>112</v>
      </c>
      <c r="E169" s="49" t="s">
        <v>197</v>
      </c>
      <c r="F169" s="66" t="n">
        <f aca="false">$H$18</f>
        <v>46241</v>
      </c>
      <c r="G169" s="74" t="n">
        <f aca="false">ROUND($G$18*$F$11,1)</f>
        <v>47.8</v>
      </c>
      <c r="H169" s="75" t="n">
        <f aca="false">$G$11</f>
        <v>30</v>
      </c>
      <c r="I169" s="68" t="n">
        <f aca="false">F169+H169</f>
        <v>46271</v>
      </c>
      <c r="J169" s="75" t="n">
        <f aca="false">$H$11</f>
        <v>1</v>
      </c>
      <c r="K169" s="34" t="s">
        <v>311</v>
      </c>
      <c r="L169" s="73"/>
      <c r="M169" s="76" t="s">
        <v>228</v>
      </c>
      <c r="N169" s="77" t="n">
        <f aca="false">IF(AND($M169="Y",Assumptions!$B$10=1),Assumptions!$B$53,$I169+$J169+Scenarios!$F$8)</f>
        <v>46272</v>
      </c>
      <c r="O169" s="67" t="n">
        <f aca="false">IF(AND($M169="Y",Assumptions!$B$10=1),$G169*(1-Assumptions!$B$52),$G169)</f>
        <v>47.8</v>
      </c>
      <c r="P169" s="72" t="str">
        <f aca="false">IF(AND($M169="Y",Assumptions!$B$10=1),"Invoice factoring - advance received",$D169)</f>
        <v>Collections - industrial OEM</v>
      </c>
      <c r="Q169" s="34" t="str">
        <f aca="false">IF(AND($M169="Y",Assumptions!$B$10=1),"Fixed","Trade")</f>
        <v>Trade</v>
      </c>
      <c r="R169" s="78" t="s">
        <v>314</v>
      </c>
    </row>
    <row r="170" customFormat="false" ht="12.75" hidden="false" customHeight="true" outlineLevel="0" collapsed="false">
      <c r="A170" s="71"/>
      <c r="B170" s="70" t="s">
        <v>182</v>
      </c>
      <c r="C170" s="71" t="s">
        <v>167</v>
      </c>
      <c r="D170" s="72" t="s">
        <v>112</v>
      </c>
      <c r="E170" s="49" t="s">
        <v>198</v>
      </c>
      <c r="F170" s="66" t="n">
        <f aca="false">$H$19</f>
        <v>46248</v>
      </c>
      <c r="G170" s="74" t="n">
        <f aca="false">ROUND($G$19*$F$11,1)</f>
        <v>9.4</v>
      </c>
      <c r="H170" s="75" t="n">
        <f aca="false">$G$11</f>
        <v>30</v>
      </c>
      <c r="I170" s="68" t="n">
        <f aca="false">F170+H170</f>
        <v>46278</v>
      </c>
      <c r="J170" s="75" t="n">
        <f aca="false">$H$11</f>
        <v>1</v>
      </c>
      <c r="K170" s="34" t="s">
        <v>311</v>
      </c>
      <c r="L170" s="73"/>
      <c r="M170" s="76" t="s">
        <v>228</v>
      </c>
      <c r="N170" s="77" t="n">
        <f aca="false">IF(AND($M170="Y",Assumptions!$B$10=1),Assumptions!$B$53,$I170+$J170+Scenarios!$F$8)</f>
        <v>46279</v>
      </c>
      <c r="O170" s="67" t="n">
        <f aca="false">IF(AND($M170="Y",Assumptions!$B$10=1),$G170*(1-Assumptions!$B$52),$G170)</f>
        <v>9.4</v>
      </c>
      <c r="P170" s="72" t="str">
        <f aca="false">IF(AND($M170="Y",Assumptions!$B$10=1),"Invoice factoring - advance received",$D170)</f>
        <v>Collections - industrial OEM</v>
      </c>
      <c r="Q170" s="34" t="str">
        <f aca="false">IF(AND($M170="Y",Assumptions!$B$10=1),"Fixed","Trade")</f>
        <v>Trade</v>
      </c>
      <c r="R170" s="78" t="s">
        <v>314</v>
      </c>
    </row>
    <row r="171" customFormat="false" ht="12.75" hidden="false" customHeight="true" outlineLevel="0" collapsed="false">
      <c r="A171" s="71"/>
      <c r="B171" s="70" t="s">
        <v>182</v>
      </c>
      <c r="C171" s="71" t="s">
        <v>167</v>
      </c>
      <c r="D171" s="72" t="s">
        <v>112</v>
      </c>
      <c r="E171" s="49" t="s">
        <v>200</v>
      </c>
      <c r="F171" s="66" t="n">
        <f aca="false">$H$20</f>
        <v>46255</v>
      </c>
      <c r="G171" s="74" t="n">
        <f aca="false">ROUND($G$20*$F$11,1)</f>
        <v>9.4</v>
      </c>
      <c r="H171" s="75" t="n">
        <f aca="false">$G$11</f>
        <v>30</v>
      </c>
      <c r="I171" s="68" t="n">
        <f aca="false">F171+H171</f>
        <v>46285</v>
      </c>
      <c r="J171" s="75" t="n">
        <f aca="false">$H$11</f>
        <v>1</v>
      </c>
      <c r="K171" s="34" t="s">
        <v>311</v>
      </c>
      <c r="L171" s="73"/>
      <c r="M171" s="76" t="s">
        <v>228</v>
      </c>
      <c r="N171" s="77" t="n">
        <f aca="false">IF(AND($M171="Y",Assumptions!$B$10=1),Assumptions!$B$53,$I171+$J171+Scenarios!$F$8)</f>
        <v>46286</v>
      </c>
      <c r="O171" s="67" t="n">
        <f aca="false">IF(AND($M171="Y",Assumptions!$B$10=1),$G171*(1-Assumptions!$B$52),$G171)</f>
        <v>9.4</v>
      </c>
      <c r="P171" s="72" t="str">
        <f aca="false">IF(AND($M171="Y",Assumptions!$B$10=1),"Invoice factoring - advance received",$D171)</f>
        <v>Collections - industrial OEM</v>
      </c>
      <c r="Q171" s="34" t="str">
        <f aca="false">IF(AND($M171="Y",Assumptions!$B$10=1),"Fixed","Trade")</f>
        <v>Trade</v>
      </c>
      <c r="R171" s="78" t="s">
        <v>314</v>
      </c>
    </row>
    <row r="172" customFormat="false" ht="12.75" hidden="false" customHeight="true" outlineLevel="0" collapsed="false">
      <c r="A172" s="71"/>
      <c r="B172" s="70" t="s">
        <v>182</v>
      </c>
      <c r="C172" s="71" t="s">
        <v>167</v>
      </c>
      <c r="D172" s="72" t="s">
        <v>112</v>
      </c>
      <c r="E172" s="49" t="s">
        <v>201</v>
      </c>
      <c r="F172" s="66" t="n">
        <f aca="false">$H$21</f>
        <v>46262</v>
      </c>
      <c r="G172" s="74" t="n">
        <f aca="false">ROUND($G$21*$F$11,1)</f>
        <v>39.8</v>
      </c>
      <c r="H172" s="75" t="n">
        <f aca="false">$G$11</f>
        <v>30</v>
      </c>
      <c r="I172" s="68" t="n">
        <f aca="false">F172+H172</f>
        <v>46292</v>
      </c>
      <c r="J172" s="75" t="n">
        <f aca="false">$H$11</f>
        <v>1</v>
      </c>
      <c r="K172" s="34" t="s">
        <v>311</v>
      </c>
      <c r="L172" s="73"/>
      <c r="M172" s="76" t="s">
        <v>228</v>
      </c>
      <c r="N172" s="77" t="n">
        <f aca="false">IF(AND($M172="Y",Assumptions!$B$10=1),Assumptions!$B$53,$I172+$J172+Scenarios!$F$8)</f>
        <v>46293</v>
      </c>
      <c r="O172" s="67" t="n">
        <f aca="false">IF(AND($M172="Y",Assumptions!$B$10=1),$G172*(1-Assumptions!$B$52),$G172)</f>
        <v>39.8</v>
      </c>
      <c r="P172" s="72" t="str">
        <f aca="false">IF(AND($M172="Y",Assumptions!$B$10=1),"Invoice factoring - advance received",$D172)</f>
        <v>Collections - industrial OEM</v>
      </c>
      <c r="Q172" s="34" t="str">
        <f aca="false">IF(AND($M172="Y",Assumptions!$B$10=1),"Fixed","Trade")</f>
        <v>Trade</v>
      </c>
      <c r="R172" s="78" t="s">
        <v>314</v>
      </c>
    </row>
    <row r="173" customFormat="false" ht="12.75" hidden="false" customHeight="true" outlineLevel="0" collapsed="false">
      <c r="A173" s="71"/>
      <c r="B173" s="70" t="s">
        <v>182</v>
      </c>
      <c r="C173" s="71" t="s">
        <v>167</v>
      </c>
      <c r="D173" s="72" t="s">
        <v>112</v>
      </c>
      <c r="E173" s="49" t="s">
        <v>203</v>
      </c>
      <c r="F173" s="66" t="n">
        <f aca="false">$H$22</f>
        <v>46269</v>
      </c>
      <c r="G173" s="74" t="n">
        <f aca="false">ROUND($G$22*$F$11,1)</f>
        <v>49.2</v>
      </c>
      <c r="H173" s="75" t="n">
        <f aca="false">$G$11</f>
        <v>30</v>
      </c>
      <c r="I173" s="68" t="n">
        <f aca="false">F173+H173</f>
        <v>46299</v>
      </c>
      <c r="J173" s="75" t="n">
        <f aca="false">$H$11</f>
        <v>1</v>
      </c>
      <c r="K173" s="34" t="s">
        <v>311</v>
      </c>
      <c r="L173" s="73"/>
      <c r="M173" s="76" t="s">
        <v>228</v>
      </c>
      <c r="N173" s="77" t="n">
        <f aca="false">IF(AND($M173="Y",Assumptions!$B$10=1),Assumptions!$B$53,$I173+$J173+Scenarios!$F$8)</f>
        <v>46300</v>
      </c>
      <c r="O173" s="67" t="n">
        <f aca="false">IF(AND($M173="Y",Assumptions!$B$10=1),$G173*(1-Assumptions!$B$52),$G173)</f>
        <v>49.2</v>
      </c>
      <c r="P173" s="72" t="str">
        <f aca="false">IF(AND($M173="Y",Assumptions!$B$10=1),"Invoice factoring - advance received",$D173)</f>
        <v>Collections - industrial OEM</v>
      </c>
      <c r="Q173" s="34" t="str">
        <f aca="false">IF(AND($M173="Y",Assumptions!$B$10=1),"Fixed","Trade")</f>
        <v>Trade</v>
      </c>
      <c r="R173" s="78" t="s">
        <v>314</v>
      </c>
    </row>
    <row r="174" customFormat="false" ht="12.75" hidden="false" customHeight="true" outlineLevel="0" collapsed="false">
      <c r="A174" s="71"/>
      <c r="B174" s="70" t="s">
        <v>182</v>
      </c>
      <c r="C174" s="71" t="s">
        <v>167</v>
      </c>
      <c r="D174" s="72" t="s">
        <v>112</v>
      </c>
      <c r="E174" s="49" t="s">
        <v>204</v>
      </c>
      <c r="F174" s="66" t="n">
        <f aca="false">$H$23</f>
        <v>46276</v>
      </c>
      <c r="G174" s="74" t="n">
        <f aca="false">ROUND($G$23*$F$11,1)</f>
        <v>51.5</v>
      </c>
      <c r="H174" s="75" t="n">
        <f aca="false">$G$11</f>
        <v>30</v>
      </c>
      <c r="I174" s="68" t="n">
        <f aca="false">F174+H174</f>
        <v>46306</v>
      </c>
      <c r="J174" s="75" t="n">
        <f aca="false">$H$11</f>
        <v>1</v>
      </c>
      <c r="K174" s="34" t="s">
        <v>311</v>
      </c>
      <c r="L174" s="73"/>
      <c r="M174" s="76" t="s">
        <v>228</v>
      </c>
      <c r="N174" s="77" t="n">
        <f aca="false">IF(AND($M174="Y",Assumptions!$B$10=1),Assumptions!$B$53,$I174+$J174+Scenarios!$F$8)</f>
        <v>46307</v>
      </c>
      <c r="O174" s="67" t="n">
        <f aca="false">IF(AND($M174="Y",Assumptions!$B$10=1),$G174*(1-Assumptions!$B$52),$G174)</f>
        <v>51.5</v>
      </c>
      <c r="P174" s="72" t="str">
        <f aca="false">IF(AND($M174="Y",Assumptions!$B$10=1),"Invoice factoring - advance received",$D174)</f>
        <v>Collections - industrial OEM</v>
      </c>
      <c r="Q174" s="34" t="str">
        <f aca="false">IF(AND($M174="Y",Assumptions!$B$10=1),"Fixed","Trade")</f>
        <v>Trade</v>
      </c>
      <c r="R174" s="78" t="s">
        <v>314</v>
      </c>
    </row>
    <row r="175" customFormat="false" ht="12.75" hidden="false" customHeight="true" outlineLevel="0" collapsed="false">
      <c r="A175" s="71"/>
      <c r="B175" s="70" t="s">
        <v>182</v>
      </c>
      <c r="C175" s="71" t="s">
        <v>167</v>
      </c>
      <c r="D175" s="72" t="s">
        <v>112</v>
      </c>
      <c r="E175" s="49" t="s">
        <v>206</v>
      </c>
      <c r="F175" s="66" t="n">
        <f aca="false">$H$24</f>
        <v>46283</v>
      </c>
      <c r="G175" s="74" t="n">
        <f aca="false">ROUND($G$24*$F$11,1)</f>
        <v>51.5</v>
      </c>
      <c r="H175" s="75" t="n">
        <f aca="false">$G$11</f>
        <v>30</v>
      </c>
      <c r="I175" s="68" t="n">
        <f aca="false">F175+H175</f>
        <v>46313</v>
      </c>
      <c r="J175" s="75" t="n">
        <f aca="false">$H$11</f>
        <v>1</v>
      </c>
      <c r="K175" s="34" t="s">
        <v>311</v>
      </c>
      <c r="L175" s="73"/>
      <c r="M175" s="76" t="s">
        <v>228</v>
      </c>
      <c r="N175" s="77" t="n">
        <f aca="false">IF(AND($M175="Y",Assumptions!$B$10=1),Assumptions!$B$53,$I175+$J175+Scenarios!$F$8)</f>
        <v>46314</v>
      </c>
      <c r="O175" s="67" t="n">
        <f aca="false">IF(AND($M175="Y",Assumptions!$B$10=1),$G175*(1-Assumptions!$B$52),$G175)</f>
        <v>51.5</v>
      </c>
      <c r="P175" s="72" t="str">
        <f aca="false">IF(AND($M175="Y",Assumptions!$B$10=1),"Invoice factoring - advance received",$D175)</f>
        <v>Collections - industrial OEM</v>
      </c>
      <c r="Q175" s="34" t="str">
        <f aca="false">IF(AND($M175="Y",Assumptions!$B$10=1),"Fixed","Trade")</f>
        <v>Trade</v>
      </c>
      <c r="R175" s="78" t="s">
        <v>314</v>
      </c>
    </row>
    <row r="176" customFormat="false" ht="12.75" hidden="false" customHeight="true" outlineLevel="0" collapsed="false">
      <c r="A176" s="71"/>
      <c r="B176" s="70" t="s">
        <v>182</v>
      </c>
      <c r="C176" s="71" t="s">
        <v>167</v>
      </c>
      <c r="D176" s="72" t="s">
        <v>112</v>
      </c>
      <c r="E176" s="49" t="s">
        <v>207</v>
      </c>
      <c r="F176" s="66" t="n">
        <f aca="false">$H$25</f>
        <v>46290</v>
      </c>
      <c r="G176" s="74" t="n">
        <f aca="false">ROUND($G$25*$F$11,1)</f>
        <v>50.6</v>
      </c>
      <c r="H176" s="75" t="n">
        <f aca="false">$G$11</f>
        <v>30</v>
      </c>
      <c r="I176" s="68" t="n">
        <f aca="false">F176+H176</f>
        <v>46320</v>
      </c>
      <c r="J176" s="75" t="n">
        <f aca="false">$H$11</f>
        <v>1</v>
      </c>
      <c r="K176" s="34" t="s">
        <v>311</v>
      </c>
      <c r="L176" s="73"/>
      <c r="M176" s="76" t="s">
        <v>228</v>
      </c>
      <c r="N176" s="77" t="n">
        <f aca="false">IF(AND($M176="Y",Assumptions!$B$10=1),Assumptions!$B$53,$I176+$J176+Scenarios!$F$8)</f>
        <v>46321</v>
      </c>
      <c r="O176" s="67" t="n">
        <f aca="false">IF(AND($M176="Y",Assumptions!$B$10=1),$G176*(1-Assumptions!$B$52),$G176)</f>
        <v>50.6</v>
      </c>
      <c r="P176" s="72" t="str">
        <f aca="false">IF(AND($M176="Y",Assumptions!$B$10=1),"Invoice factoring - advance received",$D176)</f>
        <v>Collections - industrial OEM</v>
      </c>
      <c r="Q176" s="34" t="str">
        <f aca="false">IF(AND($M176="Y",Assumptions!$B$10=1),"Fixed","Trade")</f>
        <v>Trade</v>
      </c>
      <c r="R176" s="78" t="s">
        <v>314</v>
      </c>
    </row>
    <row r="177" customFormat="false" ht="12.75" hidden="false" customHeight="true" outlineLevel="0" collapsed="false">
      <c r="A177" s="71"/>
      <c r="B177" s="70" t="s">
        <v>182</v>
      </c>
      <c r="C177" s="71" t="s">
        <v>167</v>
      </c>
      <c r="D177" s="72" t="s">
        <v>112</v>
      </c>
      <c r="E177" s="49" t="s">
        <v>208</v>
      </c>
      <c r="F177" s="66" t="n">
        <f aca="false">$H$26</f>
        <v>46297</v>
      </c>
      <c r="G177" s="74" t="n">
        <f aca="false">ROUND($G$26*$F$11,1)</f>
        <v>49.2</v>
      </c>
      <c r="H177" s="75" t="n">
        <f aca="false">$G$11</f>
        <v>30</v>
      </c>
      <c r="I177" s="68" t="n">
        <f aca="false">F177+H177</f>
        <v>46327</v>
      </c>
      <c r="J177" s="75" t="n">
        <f aca="false">$H$11</f>
        <v>1</v>
      </c>
      <c r="K177" s="34" t="s">
        <v>311</v>
      </c>
      <c r="L177" s="73"/>
      <c r="M177" s="76" t="s">
        <v>228</v>
      </c>
      <c r="N177" s="77" t="n">
        <f aca="false">IF(AND($M177="Y",Assumptions!$B$10=1),Assumptions!$B$53,$I177+$J177+Scenarios!$F$8)</f>
        <v>46328</v>
      </c>
      <c r="O177" s="67" t="n">
        <f aca="false">IF(AND($M177="Y",Assumptions!$B$10=1),$G177*(1-Assumptions!$B$52),$G177)</f>
        <v>49.2</v>
      </c>
      <c r="P177" s="72" t="str">
        <f aca="false">IF(AND($M177="Y",Assumptions!$B$10=1),"Invoice factoring - advance received",$D177)</f>
        <v>Collections - industrial OEM</v>
      </c>
      <c r="Q177" s="34" t="str">
        <f aca="false">IF(AND($M177="Y",Assumptions!$B$10=1),"Fixed","Trade")</f>
        <v>Trade</v>
      </c>
      <c r="R177" s="78" t="s">
        <v>314</v>
      </c>
    </row>
    <row r="178" customFormat="false" ht="12.75" hidden="false" customHeight="true" outlineLevel="0" collapsed="false">
      <c r="A178" s="71"/>
      <c r="B178" s="70" t="s">
        <v>182</v>
      </c>
      <c r="C178" s="71" t="s">
        <v>167</v>
      </c>
      <c r="D178" s="72" t="s">
        <v>112</v>
      </c>
      <c r="E178" s="49" t="s">
        <v>209</v>
      </c>
      <c r="F178" s="66" t="n">
        <f aca="false">$H$27</f>
        <v>46304</v>
      </c>
      <c r="G178" s="74" t="n">
        <f aca="false">ROUND($G$27*$F$11,1)</f>
        <v>49.2</v>
      </c>
      <c r="H178" s="75" t="n">
        <f aca="false">$G$11</f>
        <v>30</v>
      </c>
      <c r="I178" s="68" t="n">
        <f aca="false">F178+H178</f>
        <v>46334</v>
      </c>
      <c r="J178" s="75" t="n">
        <f aca="false">$H$11</f>
        <v>1</v>
      </c>
      <c r="K178" s="34" t="s">
        <v>311</v>
      </c>
      <c r="L178" s="73"/>
      <c r="M178" s="76" t="s">
        <v>228</v>
      </c>
      <c r="N178" s="77" t="n">
        <f aca="false">IF(AND($M178="Y",Assumptions!$B$10=1),Assumptions!$B$53,$I178+$J178+Scenarios!$F$8)</f>
        <v>46335</v>
      </c>
      <c r="O178" s="67" t="n">
        <f aca="false">IF(AND($M178="Y",Assumptions!$B$10=1),$G178*(1-Assumptions!$B$52),$G178)</f>
        <v>49.2</v>
      </c>
      <c r="P178" s="72" t="str">
        <f aca="false">IF(AND($M178="Y",Assumptions!$B$10=1),"Invoice factoring - advance received",$D178)</f>
        <v>Collections - industrial OEM</v>
      </c>
      <c r="Q178" s="34" t="str">
        <f aca="false">IF(AND($M178="Y",Assumptions!$B$10=1),"Fixed","Trade")</f>
        <v>Trade</v>
      </c>
      <c r="R178" s="78" t="s">
        <v>314</v>
      </c>
    </row>
    <row r="179" customFormat="false" ht="12.75" hidden="false" customHeight="true" outlineLevel="0" collapsed="false">
      <c r="A179" s="71"/>
      <c r="B179" s="70" t="s">
        <v>182</v>
      </c>
      <c r="C179" s="71" t="s">
        <v>167</v>
      </c>
      <c r="D179" s="72" t="s">
        <v>112</v>
      </c>
      <c r="E179" s="49" t="s">
        <v>210</v>
      </c>
      <c r="F179" s="66" t="n">
        <f aca="false">$H$28</f>
        <v>46311</v>
      </c>
      <c r="G179" s="74" t="n">
        <f aca="false">ROUND($G$28*$F$11,1)</f>
        <v>47.8</v>
      </c>
      <c r="H179" s="75" t="n">
        <f aca="false">$G$11</f>
        <v>30</v>
      </c>
      <c r="I179" s="68" t="n">
        <f aca="false">F179+H179</f>
        <v>46341</v>
      </c>
      <c r="J179" s="75" t="n">
        <f aca="false">$H$11</f>
        <v>1</v>
      </c>
      <c r="K179" s="34" t="s">
        <v>311</v>
      </c>
      <c r="L179" s="73"/>
      <c r="M179" s="76" t="s">
        <v>228</v>
      </c>
      <c r="N179" s="77" t="n">
        <f aca="false">IF(AND($M179="Y",Assumptions!$B$10=1),Assumptions!$B$53,$I179+$J179+Scenarios!$F$8)</f>
        <v>46342</v>
      </c>
      <c r="O179" s="67" t="n">
        <f aca="false">IF(AND($M179="Y",Assumptions!$B$10=1),$G179*(1-Assumptions!$B$52),$G179)</f>
        <v>47.8</v>
      </c>
      <c r="P179" s="72" t="str">
        <f aca="false">IF(AND($M179="Y",Assumptions!$B$10=1),"Invoice factoring - advance received",$D179)</f>
        <v>Collections - industrial OEM</v>
      </c>
      <c r="Q179" s="34" t="str">
        <f aca="false">IF(AND($M179="Y",Assumptions!$B$10=1),"Fixed","Trade")</f>
        <v>Trade</v>
      </c>
      <c r="R179" s="78" t="s">
        <v>314</v>
      </c>
    </row>
    <row r="180" customFormat="false" ht="12.75" hidden="false" customHeight="true" outlineLevel="0" collapsed="false">
      <c r="A180" s="71"/>
      <c r="B180" s="70" t="s">
        <v>182</v>
      </c>
      <c r="C180" s="71" t="s">
        <v>167</v>
      </c>
      <c r="D180" s="72" t="s">
        <v>112</v>
      </c>
      <c r="E180" s="49" t="s">
        <v>211</v>
      </c>
      <c r="F180" s="66" t="n">
        <f aca="false">$H$29</f>
        <v>46318</v>
      </c>
      <c r="G180" s="74" t="n">
        <f aca="false">ROUND($G$29*$F$11,1)</f>
        <v>46.8</v>
      </c>
      <c r="H180" s="75" t="n">
        <f aca="false">$G$11</f>
        <v>30</v>
      </c>
      <c r="I180" s="68" t="n">
        <f aca="false">F180+H180</f>
        <v>46348</v>
      </c>
      <c r="J180" s="75" t="n">
        <f aca="false">$H$11</f>
        <v>1</v>
      </c>
      <c r="K180" s="34" t="s">
        <v>311</v>
      </c>
      <c r="L180" s="73"/>
      <c r="M180" s="76" t="s">
        <v>228</v>
      </c>
      <c r="N180" s="77" t="n">
        <f aca="false">IF(AND($M180="Y",Assumptions!$B$10=1),Assumptions!$B$53,$I180+$J180+Scenarios!$F$8)</f>
        <v>46349</v>
      </c>
      <c r="O180" s="67" t="n">
        <f aca="false">IF(AND($M180="Y",Assumptions!$B$10=1),$G180*(1-Assumptions!$B$52),$G180)</f>
        <v>46.8</v>
      </c>
      <c r="P180" s="72" t="str">
        <f aca="false">IF(AND($M180="Y",Assumptions!$B$10=1),"Invoice factoring - advance received",$D180)</f>
        <v>Collections - industrial OEM</v>
      </c>
      <c r="Q180" s="34" t="str">
        <f aca="false">IF(AND($M180="Y",Assumptions!$B$10=1),"Fixed","Trade")</f>
        <v>Trade</v>
      </c>
      <c r="R180" s="78" t="s">
        <v>314</v>
      </c>
    </row>
    <row r="181" customFormat="false" ht="12.75" hidden="false" customHeight="true" outlineLevel="0" collapsed="false">
      <c r="A181" s="71"/>
      <c r="B181" s="70" t="s">
        <v>184</v>
      </c>
      <c r="C181" s="71" t="s">
        <v>185</v>
      </c>
      <c r="D181" s="72" t="s">
        <v>113</v>
      </c>
      <c r="E181" s="49" t="s">
        <v>195</v>
      </c>
      <c r="F181" s="66" t="n">
        <f aca="false">$H$17</f>
        <v>46234</v>
      </c>
      <c r="G181" s="74" t="n">
        <f aca="false">ROUND($G$17*$F$12,1)</f>
        <v>26.8</v>
      </c>
      <c r="H181" s="75" t="n">
        <f aca="false">$G$12</f>
        <v>30</v>
      </c>
      <c r="I181" s="68" t="n">
        <f aca="false">F181+H181</f>
        <v>46264</v>
      </c>
      <c r="J181" s="75" t="n">
        <f aca="false">$H$12</f>
        <v>12</v>
      </c>
      <c r="K181" s="34" t="s">
        <v>311</v>
      </c>
      <c r="L181" s="73"/>
      <c r="M181" s="76" t="s">
        <v>228</v>
      </c>
      <c r="N181" s="77" t="n">
        <f aca="false">IF(AND($M181="Y",Assumptions!$B$10=1),Assumptions!$B$53,$I181+$J181+Scenarios!$F$8)</f>
        <v>46276</v>
      </c>
      <c r="O181" s="67" t="n">
        <f aca="false">IF(AND($M181="Y",Assumptions!$B$10=1),$G181*(1-Assumptions!$B$52),$G181)</f>
        <v>26.8</v>
      </c>
      <c r="P181" s="72" t="str">
        <f aca="false">IF(AND($M181="Y",Assumptions!$B$10=1),"Invoice factoring - advance received",$D181)</f>
        <v>Collections - aftermarket &amp; distribution</v>
      </c>
      <c r="Q181" s="34" t="str">
        <f aca="false">IF(AND($M181="Y",Assumptions!$B$10=1),"Fixed","Trade")</f>
        <v>Trade</v>
      </c>
      <c r="R181" s="78" t="s">
        <v>314</v>
      </c>
    </row>
    <row r="182" customFormat="false" ht="12.75" hidden="false" customHeight="true" outlineLevel="0" collapsed="false">
      <c r="A182" s="71"/>
      <c r="B182" s="70" t="s">
        <v>184</v>
      </c>
      <c r="C182" s="71" t="s">
        <v>185</v>
      </c>
      <c r="D182" s="72" t="s">
        <v>113</v>
      </c>
      <c r="E182" s="49" t="s">
        <v>197</v>
      </c>
      <c r="F182" s="66" t="n">
        <f aca="false">$H$18</f>
        <v>46241</v>
      </c>
      <c r="G182" s="74" t="n">
        <f aca="false">ROUND($G$18*$F$12,1)</f>
        <v>27.3</v>
      </c>
      <c r="H182" s="75" t="n">
        <f aca="false">$G$12</f>
        <v>30</v>
      </c>
      <c r="I182" s="68" t="n">
        <f aca="false">F182+H182</f>
        <v>46271</v>
      </c>
      <c r="J182" s="75" t="n">
        <f aca="false">$H$12</f>
        <v>12</v>
      </c>
      <c r="K182" s="34" t="s">
        <v>311</v>
      </c>
      <c r="L182" s="73"/>
      <c r="M182" s="76" t="s">
        <v>228</v>
      </c>
      <c r="N182" s="77" t="n">
        <f aca="false">IF(AND($M182="Y",Assumptions!$B$10=1),Assumptions!$B$53,$I182+$J182+Scenarios!$F$8)</f>
        <v>46283</v>
      </c>
      <c r="O182" s="67" t="n">
        <f aca="false">IF(AND($M182="Y",Assumptions!$B$10=1),$G182*(1-Assumptions!$B$52),$G182)</f>
        <v>27.3</v>
      </c>
      <c r="P182" s="72" t="str">
        <f aca="false">IF(AND($M182="Y",Assumptions!$B$10=1),"Invoice factoring - advance received",$D182)</f>
        <v>Collections - aftermarket &amp; distribution</v>
      </c>
      <c r="Q182" s="34" t="str">
        <f aca="false">IF(AND($M182="Y",Assumptions!$B$10=1),"Fixed","Trade")</f>
        <v>Trade</v>
      </c>
      <c r="R182" s="78" t="s">
        <v>314</v>
      </c>
    </row>
    <row r="183" customFormat="false" ht="12.75" hidden="false" customHeight="true" outlineLevel="0" collapsed="false">
      <c r="A183" s="71"/>
      <c r="B183" s="70" t="s">
        <v>184</v>
      </c>
      <c r="C183" s="71" t="s">
        <v>185</v>
      </c>
      <c r="D183" s="72" t="s">
        <v>113</v>
      </c>
      <c r="E183" s="49" t="s">
        <v>198</v>
      </c>
      <c r="F183" s="66" t="n">
        <f aca="false">$H$19</f>
        <v>46248</v>
      </c>
      <c r="G183" s="74" t="n">
        <f aca="false">ROUND($G$19*$F$12,1)</f>
        <v>5.4</v>
      </c>
      <c r="H183" s="75" t="n">
        <f aca="false">$G$12</f>
        <v>30</v>
      </c>
      <c r="I183" s="68" t="n">
        <f aca="false">F183+H183</f>
        <v>46278</v>
      </c>
      <c r="J183" s="75" t="n">
        <f aca="false">$H$12</f>
        <v>12</v>
      </c>
      <c r="K183" s="34" t="s">
        <v>311</v>
      </c>
      <c r="L183" s="73"/>
      <c r="M183" s="76" t="s">
        <v>228</v>
      </c>
      <c r="N183" s="77" t="n">
        <f aca="false">IF(AND($M183="Y",Assumptions!$B$10=1),Assumptions!$B$53,$I183+$J183+Scenarios!$F$8)</f>
        <v>46290</v>
      </c>
      <c r="O183" s="67" t="n">
        <f aca="false">IF(AND($M183="Y",Assumptions!$B$10=1),$G183*(1-Assumptions!$B$52),$G183)</f>
        <v>5.4</v>
      </c>
      <c r="P183" s="72" t="str">
        <f aca="false">IF(AND($M183="Y",Assumptions!$B$10=1),"Invoice factoring - advance received",$D183)</f>
        <v>Collections - aftermarket &amp; distribution</v>
      </c>
      <c r="Q183" s="34" t="str">
        <f aca="false">IF(AND($M183="Y",Assumptions!$B$10=1),"Fixed","Trade")</f>
        <v>Trade</v>
      </c>
      <c r="R183" s="78" t="s">
        <v>314</v>
      </c>
    </row>
    <row r="184" customFormat="false" ht="12.75" hidden="false" customHeight="true" outlineLevel="0" collapsed="false">
      <c r="A184" s="71"/>
      <c r="B184" s="70" t="s">
        <v>184</v>
      </c>
      <c r="C184" s="71" t="s">
        <v>185</v>
      </c>
      <c r="D184" s="72" t="s">
        <v>113</v>
      </c>
      <c r="E184" s="49" t="s">
        <v>200</v>
      </c>
      <c r="F184" s="66" t="n">
        <f aca="false">$H$20</f>
        <v>46255</v>
      </c>
      <c r="G184" s="74" t="n">
        <f aca="false">ROUND($G$20*$F$12,1)</f>
        <v>5.4</v>
      </c>
      <c r="H184" s="75" t="n">
        <f aca="false">$G$12</f>
        <v>30</v>
      </c>
      <c r="I184" s="68" t="n">
        <f aca="false">F184+H184</f>
        <v>46285</v>
      </c>
      <c r="J184" s="75" t="n">
        <f aca="false">$H$12</f>
        <v>12</v>
      </c>
      <c r="K184" s="34" t="s">
        <v>311</v>
      </c>
      <c r="L184" s="73"/>
      <c r="M184" s="76" t="s">
        <v>228</v>
      </c>
      <c r="N184" s="77" t="n">
        <f aca="false">IF(AND($M184="Y",Assumptions!$B$10=1),Assumptions!$B$53,$I184+$J184+Scenarios!$F$8)</f>
        <v>46297</v>
      </c>
      <c r="O184" s="67" t="n">
        <f aca="false">IF(AND($M184="Y",Assumptions!$B$10=1),$G184*(1-Assumptions!$B$52),$G184)</f>
        <v>5.4</v>
      </c>
      <c r="P184" s="72" t="str">
        <f aca="false">IF(AND($M184="Y",Assumptions!$B$10=1),"Invoice factoring - advance received",$D184)</f>
        <v>Collections - aftermarket &amp; distribution</v>
      </c>
      <c r="Q184" s="34" t="str">
        <f aca="false">IF(AND($M184="Y",Assumptions!$B$10=1),"Fixed","Trade")</f>
        <v>Trade</v>
      </c>
      <c r="R184" s="78" t="s">
        <v>314</v>
      </c>
    </row>
    <row r="185" customFormat="false" ht="12.75" hidden="false" customHeight="true" outlineLevel="0" collapsed="false">
      <c r="A185" s="71"/>
      <c r="B185" s="70" t="s">
        <v>184</v>
      </c>
      <c r="C185" s="71" t="s">
        <v>185</v>
      </c>
      <c r="D185" s="72" t="s">
        <v>113</v>
      </c>
      <c r="E185" s="49" t="s">
        <v>201</v>
      </c>
      <c r="F185" s="66" t="n">
        <f aca="false">$H$21</f>
        <v>46262</v>
      </c>
      <c r="G185" s="74" t="n">
        <f aca="false">ROUND($G$21*$F$12,1)</f>
        <v>22.8</v>
      </c>
      <c r="H185" s="75" t="n">
        <f aca="false">$G$12</f>
        <v>30</v>
      </c>
      <c r="I185" s="68" t="n">
        <f aca="false">F185+H185</f>
        <v>46292</v>
      </c>
      <c r="J185" s="75" t="n">
        <f aca="false">$H$12</f>
        <v>12</v>
      </c>
      <c r="K185" s="34" t="s">
        <v>311</v>
      </c>
      <c r="L185" s="73"/>
      <c r="M185" s="76" t="s">
        <v>228</v>
      </c>
      <c r="N185" s="77" t="n">
        <f aca="false">IF(AND($M185="Y",Assumptions!$B$10=1),Assumptions!$B$53,$I185+$J185+Scenarios!$F$8)</f>
        <v>46304</v>
      </c>
      <c r="O185" s="67" t="n">
        <f aca="false">IF(AND($M185="Y",Assumptions!$B$10=1),$G185*(1-Assumptions!$B$52),$G185)</f>
        <v>22.8</v>
      </c>
      <c r="P185" s="72" t="str">
        <f aca="false">IF(AND($M185="Y",Assumptions!$B$10=1),"Invoice factoring - advance received",$D185)</f>
        <v>Collections - aftermarket &amp; distribution</v>
      </c>
      <c r="Q185" s="34" t="str">
        <f aca="false">IF(AND($M185="Y",Assumptions!$B$10=1),"Fixed","Trade")</f>
        <v>Trade</v>
      </c>
      <c r="R185" s="78" t="s">
        <v>314</v>
      </c>
    </row>
    <row r="186" customFormat="false" ht="12.75" hidden="false" customHeight="true" outlineLevel="0" collapsed="false">
      <c r="A186" s="71"/>
      <c r="B186" s="70" t="s">
        <v>184</v>
      </c>
      <c r="C186" s="71" t="s">
        <v>185</v>
      </c>
      <c r="D186" s="72" t="s">
        <v>113</v>
      </c>
      <c r="E186" s="49" t="s">
        <v>203</v>
      </c>
      <c r="F186" s="66" t="n">
        <f aca="false">$H$22</f>
        <v>46269</v>
      </c>
      <c r="G186" s="74" t="n">
        <f aca="false">ROUND($G$22*$F$12,1)</f>
        <v>28.1</v>
      </c>
      <c r="H186" s="75" t="n">
        <f aca="false">$G$12</f>
        <v>30</v>
      </c>
      <c r="I186" s="68" t="n">
        <f aca="false">F186+H186</f>
        <v>46299</v>
      </c>
      <c r="J186" s="75" t="n">
        <f aca="false">$H$12</f>
        <v>12</v>
      </c>
      <c r="K186" s="34" t="s">
        <v>311</v>
      </c>
      <c r="L186" s="73"/>
      <c r="M186" s="76" t="s">
        <v>228</v>
      </c>
      <c r="N186" s="77" t="n">
        <f aca="false">IF(AND($M186="Y",Assumptions!$B$10=1),Assumptions!$B$53,$I186+$J186+Scenarios!$F$8)</f>
        <v>46311</v>
      </c>
      <c r="O186" s="67" t="n">
        <f aca="false">IF(AND($M186="Y",Assumptions!$B$10=1),$G186*(1-Assumptions!$B$52),$G186)</f>
        <v>28.1</v>
      </c>
      <c r="P186" s="72" t="str">
        <f aca="false">IF(AND($M186="Y",Assumptions!$B$10=1),"Invoice factoring - advance received",$D186)</f>
        <v>Collections - aftermarket &amp; distribution</v>
      </c>
      <c r="Q186" s="34" t="str">
        <f aca="false">IF(AND($M186="Y",Assumptions!$B$10=1),"Fixed","Trade")</f>
        <v>Trade</v>
      </c>
      <c r="R186" s="78" t="s">
        <v>314</v>
      </c>
    </row>
    <row r="187" customFormat="false" ht="12.75" hidden="false" customHeight="true" outlineLevel="0" collapsed="false">
      <c r="A187" s="71"/>
      <c r="B187" s="70" t="s">
        <v>184</v>
      </c>
      <c r="C187" s="71" t="s">
        <v>185</v>
      </c>
      <c r="D187" s="72" t="s">
        <v>113</v>
      </c>
      <c r="E187" s="49" t="s">
        <v>204</v>
      </c>
      <c r="F187" s="66" t="n">
        <f aca="false">$H$23</f>
        <v>46276</v>
      </c>
      <c r="G187" s="74" t="n">
        <f aca="false">ROUND($G$23*$F$12,1)</f>
        <v>29.4</v>
      </c>
      <c r="H187" s="75" t="n">
        <f aca="false">$G$12</f>
        <v>30</v>
      </c>
      <c r="I187" s="68" t="n">
        <f aca="false">F187+H187</f>
        <v>46306</v>
      </c>
      <c r="J187" s="75" t="n">
        <f aca="false">$H$12</f>
        <v>12</v>
      </c>
      <c r="K187" s="34" t="s">
        <v>311</v>
      </c>
      <c r="L187" s="73"/>
      <c r="M187" s="76" t="s">
        <v>228</v>
      </c>
      <c r="N187" s="77" t="n">
        <f aca="false">IF(AND($M187="Y",Assumptions!$B$10=1),Assumptions!$B$53,$I187+$J187+Scenarios!$F$8)</f>
        <v>46318</v>
      </c>
      <c r="O187" s="67" t="n">
        <f aca="false">IF(AND($M187="Y",Assumptions!$B$10=1),$G187*(1-Assumptions!$B$52),$G187)</f>
        <v>29.4</v>
      </c>
      <c r="P187" s="72" t="str">
        <f aca="false">IF(AND($M187="Y",Assumptions!$B$10=1),"Invoice factoring - advance received",$D187)</f>
        <v>Collections - aftermarket &amp; distribution</v>
      </c>
      <c r="Q187" s="34" t="str">
        <f aca="false">IF(AND($M187="Y",Assumptions!$B$10=1),"Fixed","Trade")</f>
        <v>Trade</v>
      </c>
      <c r="R187" s="78" t="s">
        <v>314</v>
      </c>
    </row>
    <row r="188" customFormat="false" ht="12.75" hidden="false" customHeight="true" outlineLevel="0" collapsed="false">
      <c r="A188" s="71"/>
      <c r="B188" s="70" t="s">
        <v>184</v>
      </c>
      <c r="C188" s="71" t="s">
        <v>185</v>
      </c>
      <c r="D188" s="72" t="s">
        <v>113</v>
      </c>
      <c r="E188" s="49" t="s">
        <v>206</v>
      </c>
      <c r="F188" s="66" t="n">
        <f aca="false">$H$24</f>
        <v>46283</v>
      </c>
      <c r="G188" s="74" t="n">
        <f aca="false">ROUND($G$24*$F$12,1)</f>
        <v>29.4</v>
      </c>
      <c r="H188" s="75" t="n">
        <f aca="false">$G$12</f>
        <v>30</v>
      </c>
      <c r="I188" s="68" t="n">
        <f aca="false">F188+H188</f>
        <v>46313</v>
      </c>
      <c r="J188" s="75" t="n">
        <f aca="false">$H$12</f>
        <v>12</v>
      </c>
      <c r="K188" s="34" t="s">
        <v>311</v>
      </c>
      <c r="L188" s="73"/>
      <c r="M188" s="76" t="s">
        <v>228</v>
      </c>
      <c r="N188" s="77" t="n">
        <f aca="false">IF(AND($M188="Y",Assumptions!$B$10=1),Assumptions!$B$53,$I188+$J188+Scenarios!$F$8)</f>
        <v>46325</v>
      </c>
      <c r="O188" s="67" t="n">
        <f aca="false">IF(AND($M188="Y",Assumptions!$B$10=1),$G188*(1-Assumptions!$B$52),$G188)</f>
        <v>29.4</v>
      </c>
      <c r="P188" s="72" t="str">
        <f aca="false">IF(AND($M188="Y",Assumptions!$B$10=1),"Invoice factoring - advance received",$D188)</f>
        <v>Collections - aftermarket &amp; distribution</v>
      </c>
      <c r="Q188" s="34" t="str">
        <f aca="false">IF(AND($M188="Y",Assumptions!$B$10=1),"Fixed","Trade")</f>
        <v>Trade</v>
      </c>
      <c r="R188" s="78" t="s">
        <v>314</v>
      </c>
    </row>
    <row r="189" customFormat="false" ht="12.75" hidden="false" customHeight="true" outlineLevel="0" collapsed="false">
      <c r="A189" s="71"/>
      <c r="B189" s="70" t="s">
        <v>184</v>
      </c>
      <c r="C189" s="71" t="s">
        <v>185</v>
      </c>
      <c r="D189" s="72" t="s">
        <v>113</v>
      </c>
      <c r="E189" s="49" t="s">
        <v>207</v>
      </c>
      <c r="F189" s="66" t="n">
        <f aca="false">$H$25</f>
        <v>46290</v>
      </c>
      <c r="G189" s="74" t="n">
        <f aca="false">ROUND($G$25*$F$12,1)</f>
        <v>28.9</v>
      </c>
      <c r="H189" s="75" t="n">
        <f aca="false">$G$12</f>
        <v>30</v>
      </c>
      <c r="I189" s="68" t="n">
        <f aca="false">F189+H189</f>
        <v>46320</v>
      </c>
      <c r="J189" s="75" t="n">
        <f aca="false">$H$12</f>
        <v>12</v>
      </c>
      <c r="K189" s="34" t="s">
        <v>311</v>
      </c>
      <c r="L189" s="73"/>
      <c r="M189" s="76" t="s">
        <v>228</v>
      </c>
      <c r="N189" s="77" t="n">
        <f aca="false">IF(AND($M189="Y",Assumptions!$B$10=1),Assumptions!$B$53,$I189+$J189+Scenarios!$F$8)</f>
        <v>46332</v>
      </c>
      <c r="O189" s="67" t="n">
        <f aca="false">IF(AND($M189="Y",Assumptions!$B$10=1),$G189*(1-Assumptions!$B$52),$G189)</f>
        <v>28.9</v>
      </c>
      <c r="P189" s="72" t="str">
        <f aca="false">IF(AND($M189="Y",Assumptions!$B$10=1),"Invoice factoring - advance received",$D189)</f>
        <v>Collections - aftermarket &amp; distribution</v>
      </c>
      <c r="Q189" s="34" t="str">
        <f aca="false">IF(AND($M189="Y",Assumptions!$B$10=1),"Fixed","Trade")</f>
        <v>Trade</v>
      </c>
      <c r="R189" s="78" t="s">
        <v>314</v>
      </c>
    </row>
    <row r="190" customFormat="false" ht="12.75" hidden="false" customHeight="true" outlineLevel="0" collapsed="false">
      <c r="A190" s="71"/>
      <c r="B190" s="70" t="s">
        <v>184</v>
      </c>
      <c r="C190" s="71" t="s">
        <v>185</v>
      </c>
      <c r="D190" s="72" t="s">
        <v>113</v>
      </c>
      <c r="E190" s="49" t="s">
        <v>208</v>
      </c>
      <c r="F190" s="66" t="n">
        <f aca="false">$H$26</f>
        <v>46297</v>
      </c>
      <c r="G190" s="74" t="n">
        <f aca="false">ROUND($G$26*$F$12,1)</f>
        <v>28.1</v>
      </c>
      <c r="H190" s="75" t="n">
        <f aca="false">$G$12</f>
        <v>30</v>
      </c>
      <c r="I190" s="68" t="n">
        <f aca="false">F190+H190</f>
        <v>46327</v>
      </c>
      <c r="J190" s="75" t="n">
        <f aca="false">$H$12</f>
        <v>12</v>
      </c>
      <c r="K190" s="34" t="s">
        <v>311</v>
      </c>
      <c r="L190" s="73"/>
      <c r="M190" s="76" t="s">
        <v>228</v>
      </c>
      <c r="N190" s="77" t="n">
        <f aca="false">IF(AND($M190="Y",Assumptions!$B$10=1),Assumptions!$B$53,$I190+$J190+Scenarios!$F$8)</f>
        <v>46339</v>
      </c>
      <c r="O190" s="67" t="n">
        <f aca="false">IF(AND($M190="Y",Assumptions!$B$10=1),$G190*(1-Assumptions!$B$52),$G190)</f>
        <v>28.1</v>
      </c>
      <c r="P190" s="72" t="str">
        <f aca="false">IF(AND($M190="Y",Assumptions!$B$10=1),"Invoice factoring - advance received",$D190)</f>
        <v>Collections - aftermarket &amp; distribution</v>
      </c>
      <c r="Q190" s="34" t="str">
        <f aca="false">IF(AND($M190="Y",Assumptions!$B$10=1),"Fixed","Trade")</f>
        <v>Trade</v>
      </c>
      <c r="R190" s="78" t="s">
        <v>314</v>
      </c>
    </row>
    <row r="191" customFormat="false" ht="12.75" hidden="false" customHeight="true" outlineLevel="0" collapsed="false">
      <c r="A191" s="71"/>
      <c r="B191" s="70" t="s">
        <v>184</v>
      </c>
      <c r="C191" s="71" t="s">
        <v>185</v>
      </c>
      <c r="D191" s="72" t="s">
        <v>113</v>
      </c>
      <c r="E191" s="49" t="s">
        <v>209</v>
      </c>
      <c r="F191" s="66" t="n">
        <f aca="false">$H$27</f>
        <v>46304</v>
      </c>
      <c r="G191" s="74" t="n">
        <f aca="false">ROUND($G$27*$F$12,1)</f>
        <v>28.1</v>
      </c>
      <c r="H191" s="75" t="n">
        <f aca="false">$G$12</f>
        <v>30</v>
      </c>
      <c r="I191" s="68" t="n">
        <f aca="false">F191+H191</f>
        <v>46334</v>
      </c>
      <c r="J191" s="75" t="n">
        <f aca="false">$H$12</f>
        <v>12</v>
      </c>
      <c r="K191" s="34" t="s">
        <v>311</v>
      </c>
      <c r="L191" s="73"/>
      <c r="M191" s="76" t="s">
        <v>228</v>
      </c>
      <c r="N191" s="77" t="n">
        <f aca="false">IF(AND($M191="Y",Assumptions!$B$10=1),Assumptions!$B$53,$I191+$J191+Scenarios!$F$8)</f>
        <v>46346</v>
      </c>
      <c r="O191" s="67" t="n">
        <f aca="false">IF(AND($M191="Y",Assumptions!$B$10=1),$G191*(1-Assumptions!$B$52),$G191)</f>
        <v>28.1</v>
      </c>
      <c r="P191" s="72" t="str">
        <f aca="false">IF(AND($M191="Y",Assumptions!$B$10=1),"Invoice factoring - advance received",$D191)</f>
        <v>Collections - aftermarket &amp; distribution</v>
      </c>
      <c r="Q191" s="34" t="str">
        <f aca="false">IF(AND($M191="Y",Assumptions!$B$10=1),"Fixed","Trade")</f>
        <v>Trade</v>
      </c>
      <c r="R191" s="78" t="s">
        <v>314</v>
      </c>
    </row>
    <row r="192" customFormat="false" ht="12.75" hidden="false" customHeight="true" outlineLevel="0" collapsed="false">
      <c r="A192" s="71"/>
      <c r="B192" s="70" t="s">
        <v>184</v>
      </c>
      <c r="C192" s="71" t="s">
        <v>185</v>
      </c>
      <c r="D192" s="72" t="s">
        <v>113</v>
      </c>
      <c r="E192" s="49" t="s">
        <v>210</v>
      </c>
      <c r="F192" s="66" t="n">
        <f aca="false">$H$28</f>
        <v>46311</v>
      </c>
      <c r="G192" s="74" t="n">
        <f aca="false">ROUND($G$28*$F$12,1)</f>
        <v>27.3</v>
      </c>
      <c r="H192" s="75" t="n">
        <f aca="false">$G$12</f>
        <v>30</v>
      </c>
      <c r="I192" s="68" t="n">
        <f aca="false">F192+H192</f>
        <v>46341</v>
      </c>
      <c r="J192" s="75" t="n">
        <f aca="false">$H$12</f>
        <v>12</v>
      </c>
      <c r="K192" s="34" t="s">
        <v>311</v>
      </c>
      <c r="L192" s="73"/>
      <c r="M192" s="76" t="s">
        <v>228</v>
      </c>
      <c r="N192" s="77" t="n">
        <f aca="false">IF(AND($M192="Y",Assumptions!$B$10=1),Assumptions!$B$53,$I192+$J192+Scenarios!$F$8)</f>
        <v>46353</v>
      </c>
      <c r="O192" s="67" t="n">
        <f aca="false">IF(AND($M192="Y",Assumptions!$B$10=1),$G192*(1-Assumptions!$B$52),$G192)</f>
        <v>27.3</v>
      </c>
      <c r="P192" s="72" t="str">
        <f aca="false">IF(AND($M192="Y",Assumptions!$B$10=1),"Invoice factoring - advance received",$D192)</f>
        <v>Collections - aftermarket &amp; distribution</v>
      </c>
      <c r="Q192" s="34" t="str">
        <f aca="false">IF(AND($M192="Y",Assumptions!$B$10=1),"Fixed","Trade")</f>
        <v>Trade</v>
      </c>
      <c r="R192" s="78" t="s">
        <v>314</v>
      </c>
    </row>
    <row r="193" customFormat="false" ht="12.75" hidden="false" customHeight="true" outlineLevel="0" collapsed="false">
      <c r="A193" s="71"/>
      <c r="B193" s="70" t="s">
        <v>184</v>
      </c>
      <c r="C193" s="71" t="s">
        <v>185</v>
      </c>
      <c r="D193" s="72" t="s">
        <v>113</v>
      </c>
      <c r="E193" s="49" t="s">
        <v>211</v>
      </c>
      <c r="F193" s="66" t="n">
        <f aca="false">$H$29</f>
        <v>46318</v>
      </c>
      <c r="G193" s="74" t="n">
        <f aca="false">ROUND($G$29*$F$12,1)</f>
        <v>26.8</v>
      </c>
      <c r="H193" s="75" t="n">
        <f aca="false">$G$12</f>
        <v>30</v>
      </c>
      <c r="I193" s="68" t="n">
        <f aca="false">F193+H193</f>
        <v>46348</v>
      </c>
      <c r="J193" s="75" t="n">
        <f aca="false">$H$12</f>
        <v>12</v>
      </c>
      <c r="K193" s="34" t="s">
        <v>311</v>
      </c>
      <c r="L193" s="73"/>
      <c r="M193" s="76" t="s">
        <v>228</v>
      </c>
      <c r="N193" s="77" t="n">
        <f aca="false">IF(AND($M193="Y",Assumptions!$B$10=1),Assumptions!$B$53,$I193+$J193+Scenarios!$F$8)</f>
        <v>46360</v>
      </c>
      <c r="O193" s="67" t="n">
        <f aca="false">IF(AND($M193="Y",Assumptions!$B$10=1),$G193*(1-Assumptions!$B$52),$G193)</f>
        <v>26.8</v>
      </c>
      <c r="P193" s="72" t="str">
        <f aca="false">IF(AND($M193="Y",Assumptions!$B$10=1),"Invoice factoring - advance received",$D193)</f>
        <v>Collections - aftermarket &amp; distribution</v>
      </c>
      <c r="Q193" s="34" t="str">
        <f aca="false">IF(AND($M193="Y",Assumptions!$B$10=1),"Fixed","Trade")</f>
        <v>Trade</v>
      </c>
      <c r="R193" s="78" t="s">
        <v>314</v>
      </c>
    </row>
    <row r="194" customFormat="false" ht="12.75" hidden="false" customHeight="true" outlineLevel="0" collapsed="false">
      <c r="A194" s="71"/>
      <c r="B194" s="70" t="s">
        <v>315</v>
      </c>
      <c r="C194" s="71" t="s">
        <v>173</v>
      </c>
      <c r="D194" s="72" t="s">
        <v>114</v>
      </c>
      <c r="E194" s="49" t="s">
        <v>195</v>
      </c>
      <c r="F194" s="66" t="n">
        <f aca="false">$H$17</f>
        <v>46234</v>
      </c>
      <c r="G194" s="74" t="n">
        <f aca="false">ROUND($G$17*Assumptions!$B$30,1)</f>
        <v>7.4</v>
      </c>
      <c r="H194" s="54" t="n">
        <v>14</v>
      </c>
      <c r="I194" s="68" t="n">
        <f aca="false">F194+H194</f>
        <v>46248</v>
      </c>
      <c r="J194" s="54" t="n">
        <v>0</v>
      </c>
      <c r="K194" s="34" t="s">
        <v>311</v>
      </c>
      <c r="L194" s="73"/>
      <c r="M194" s="76" t="s">
        <v>228</v>
      </c>
      <c r="N194" s="77" t="n">
        <f aca="false">$I194+$J194+Scenarios!$F$8</f>
        <v>46248</v>
      </c>
      <c r="O194" s="67" t="n">
        <f aca="false">$G194</f>
        <v>7.4</v>
      </c>
      <c r="P194" s="72" t="str">
        <f aca="false">$D194</f>
        <v>Scrap, tooling &amp; NRE receipts</v>
      </c>
      <c r="Q194" s="34" t="str">
        <f aca="false">"Trade"</f>
        <v>Trade</v>
      </c>
      <c r="R194" s="78" t="s">
        <v>316</v>
      </c>
    </row>
    <row r="195" customFormat="false" ht="12.75" hidden="false" customHeight="true" outlineLevel="0" collapsed="false">
      <c r="A195" s="71"/>
      <c r="B195" s="70" t="s">
        <v>315</v>
      </c>
      <c r="C195" s="71" t="s">
        <v>173</v>
      </c>
      <c r="D195" s="72" t="s">
        <v>114</v>
      </c>
      <c r="E195" s="49" t="s">
        <v>197</v>
      </c>
      <c r="F195" s="66" t="n">
        <f aca="false">$H$18</f>
        <v>46241</v>
      </c>
      <c r="G195" s="74" t="n">
        <f aca="false">ROUND($G$18*Assumptions!$B$30,1)</f>
        <v>7.5</v>
      </c>
      <c r="H195" s="54" t="n">
        <v>14</v>
      </c>
      <c r="I195" s="68" t="n">
        <f aca="false">F195+H195</f>
        <v>46255</v>
      </c>
      <c r="J195" s="54" t="n">
        <v>0</v>
      </c>
      <c r="K195" s="34" t="s">
        <v>311</v>
      </c>
      <c r="L195" s="73"/>
      <c r="M195" s="76" t="s">
        <v>228</v>
      </c>
      <c r="N195" s="77" t="n">
        <f aca="false">$I195+$J195+Scenarios!$F$8</f>
        <v>46255</v>
      </c>
      <c r="O195" s="67" t="n">
        <f aca="false">$G195</f>
        <v>7.5</v>
      </c>
      <c r="P195" s="72" t="str">
        <f aca="false">$D195</f>
        <v>Scrap, tooling &amp; NRE receipts</v>
      </c>
      <c r="Q195" s="34" t="str">
        <f aca="false">"Trade"</f>
        <v>Trade</v>
      </c>
      <c r="R195" s="78" t="s">
        <v>316</v>
      </c>
    </row>
    <row r="196" customFormat="false" ht="12.75" hidden="false" customHeight="true" outlineLevel="0" collapsed="false">
      <c r="A196" s="71"/>
      <c r="B196" s="70" t="s">
        <v>315</v>
      </c>
      <c r="C196" s="71" t="s">
        <v>173</v>
      </c>
      <c r="D196" s="72" t="s">
        <v>114</v>
      </c>
      <c r="E196" s="49" t="s">
        <v>198</v>
      </c>
      <c r="F196" s="66" t="n">
        <f aca="false">$H$19</f>
        <v>46248</v>
      </c>
      <c r="G196" s="74" t="n">
        <f aca="false">ROUND($G$19*Assumptions!$B$30,1)</f>
        <v>1.5</v>
      </c>
      <c r="H196" s="54" t="n">
        <v>14</v>
      </c>
      <c r="I196" s="68" t="n">
        <f aca="false">F196+H196</f>
        <v>46262</v>
      </c>
      <c r="J196" s="54" t="n">
        <v>0</v>
      </c>
      <c r="K196" s="34" t="s">
        <v>311</v>
      </c>
      <c r="L196" s="73"/>
      <c r="M196" s="76" t="s">
        <v>228</v>
      </c>
      <c r="N196" s="77" t="n">
        <f aca="false">$I196+$J196+Scenarios!$F$8</f>
        <v>46262</v>
      </c>
      <c r="O196" s="67" t="n">
        <f aca="false">$G196</f>
        <v>1.5</v>
      </c>
      <c r="P196" s="72" t="str">
        <f aca="false">$D196</f>
        <v>Scrap, tooling &amp; NRE receipts</v>
      </c>
      <c r="Q196" s="34" t="str">
        <f aca="false">"Trade"</f>
        <v>Trade</v>
      </c>
      <c r="R196" s="78" t="s">
        <v>316</v>
      </c>
    </row>
    <row r="197" customFormat="false" ht="12.75" hidden="false" customHeight="true" outlineLevel="0" collapsed="false">
      <c r="A197" s="71"/>
      <c r="B197" s="70" t="s">
        <v>315</v>
      </c>
      <c r="C197" s="71" t="s">
        <v>173</v>
      </c>
      <c r="D197" s="72" t="s">
        <v>114</v>
      </c>
      <c r="E197" s="49" t="s">
        <v>200</v>
      </c>
      <c r="F197" s="66" t="n">
        <f aca="false">$H$20</f>
        <v>46255</v>
      </c>
      <c r="G197" s="74" t="n">
        <f aca="false">ROUND($G$20*Assumptions!$B$30,1)</f>
        <v>1.5</v>
      </c>
      <c r="H197" s="54" t="n">
        <v>14</v>
      </c>
      <c r="I197" s="68" t="n">
        <f aca="false">F197+H197</f>
        <v>46269</v>
      </c>
      <c r="J197" s="54" t="n">
        <v>0</v>
      </c>
      <c r="K197" s="34" t="s">
        <v>311</v>
      </c>
      <c r="L197" s="73"/>
      <c r="M197" s="76" t="s">
        <v>228</v>
      </c>
      <c r="N197" s="77" t="n">
        <f aca="false">$I197+$J197+Scenarios!$F$8</f>
        <v>46269</v>
      </c>
      <c r="O197" s="67" t="n">
        <f aca="false">$G197</f>
        <v>1.5</v>
      </c>
      <c r="P197" s="72" t="str">
        <f aca="false">$D197</f>
        <v>Scrap, tooling &amp; NRE receipts</v>
      </c>
      <c r="Q197" s="34" t="str">
        <f aca="false">"Trade"</f>
        <v>Trade</v>
      </c>
      <c r="R197" s="78" t="s">
        <v>316</v>
      </c>
    </row>
    <row r="198" customFormat="false" ht="12.75" hidden="false" customHeight="true" outlineLevel="0" collapsed="false">
      <c r="A198" s="71"/>
      <c r="B198" s="70" t="s">
        <v>315</v>
      </c>
      <c r="C198" s="71" t="s">
        <v>173</v>
      </c>
      <c r="D198" s="72" t="s">
        <v>114</v>
      </c>
      <c r="E198" s="49" t="s">
        <v>201</v>
      </c>
      <c r="F198" s="66" t="n">
        <f aca="false">$H$21</f>
        <v>46262</v>
      </c>
      <c r="G198" s="74" t="n">
        <f aca="false">ROUND($G$21*Assumptions!$B$30,1)</f>
        <v>6.3</v>
      </c>
      <c r="H198" s="54" t="n">
        <v>14</v>
      </c>
      <c r="I198" s="68" t="n">
        <f aca="false">F198+H198</f>
        <v>46276</v>
      </c>
      <c r="J198" s="54" t="n">
        <v>0</v>
      </c>
      <c r="K198" s="34" t="s">
        <v>311</v>
      </c>
      <c r="L198" s="73"/>
      <c r="M198" s="76" t="s">
        <v>228</v>
      </c>
      <c r="N198" s="77" t="n">
        <f aca="false">$I198+$J198+Scenarios!$F$8</f>
        <v>46276</v>
      </c>
      <c r="O198" s="67" t="n">
        <f aca="false">$G198</f>
        <v>6.3</v>
      </c>
      <c r="P198" s="72" t="str">
        <f aca="false">$D198</f>
        <v>Scrap, tooling &amp; NRE receipts</v>
      </c>
      <c r="Q198" s="34" t="str">
        <f aca="false">"Trade"</f>
        <v>Trade</v>
      </c>
      <c r="R198" s="78" t="s">
        <v>316</v>
      </c>
    </row>
    <row r="199" customFormat="false" ht="12.75" hidden="false" customHeight="true" outlineLevel="0" collapsed="false">
      <c r="A199" s="71"/>
      <c r="B199" s="70" t="s">
        <v>315</v>
      </c>
      <c r="C199" s="71" t="s">
        <v>173</v>
      </c>
      <c r="D199" s="72" t="s">
        <v>114</v>
      </c>
      <c r="E199" s="49" t="s">
        <v>203</v>
      </c>
      <c r="F199" s="66" t="n">
        <f aca="false">$H$22</f>
        <v>46269</v>
      </c>
      <c r="G199" s="74" t="n">
        <f aca="false">ROUND($G$22*Assumptions!$B$30,1)</f>
        <v>7.7</v>
      </c>
      <c r="H199" s="54" t="n">
        <v>14</v>
      </c>
      <c r="I199" s="68" t="n">
        <f aca="false">F199+H199</f>
        <v>46283</v>
      </c>
      <c r="J199" s="54" t="n">
        <v>0</v>
      </c>
      <c r="K199" s="34" t="s">
        <v>311</v>
      </c>
      <c r="L199" s="73"/>
      <c r="M199" s="76" t="s">
        <v>228</v>
      </c>
      <c r="N199" s="77" t="n">
        <f aca="false">$I199+$J199+Scenarios!$F$8</f>
        <v>46283</v>
      </c>
      <c r="O199" s="67" t="n">
        <f aca="false">$G199</f>
        <v>7.7</v>
      </c>
      <c r="P199" s="72" t="str">
        <f aca="false">$D199</f>
        <v>Scrap, tooling &amp; NRE receipts</v>
      </c>
      <c r="Q199" s="34" t="str">
        <f aca="false">"Trade"</f>
        <v>Trade</v>
      </c>
      <c r="R199" s="78" t="s">
        <v>316</v>
      </c>
    </row>
    <row r="200" customFormat="false" ht="12.75" hidden="false" customHeight="true" outlineLevel="0" collapsed="false">
      <c r="A200" s="71"/>
      <c r="B200" s="70" t="s">
        <v>315</v>
      </c>
      <c r="C200" s="71" t="s">
        <v>173</v>
      </c>
      <c r="D200" s="72" t="s">
        <v>114</v>
      </c>
      <c r="E200" s="49" t="s">
        <v>204</v>
      </c>
      <c r="F200" s="66" t="n">
        <f aca="false">$H$23</f>
        <v>46276</v>
      </c>
      <c r="G200" s="74" t="n">
        <f aca="false">ROUND($G$23*Assumptions!$B$30,1)</f>
        <v>8.1</v>
      </c>
      <c r="H200" s="54" t="n">
        <v>14</v>
      </c>
      <c r="I200" s="68" t="n">
        <f aca="false">F200+H200</f>
        <v>46290</v>
      </c>
      <c r="J200" s="54" t="n">
        <v>0</v>
      </c>
      <c r="K200" s="34" t="s">
        <v>311</v>
      </c>
      <c r="L200" s="73"/>
      <c r="M200" s="76" t="s">
        <v>228</v>
      </c>
      <c r="N200" s="77" t="n">
        <f aca="false">$I200+$J200+Scenarios!$F$8</f>
        <v>46290</v>
      </c>
      <c r="O200" s="67" t="n">
        <f aca="false">$G200</f>
        <v>8.1</v>
      </c>
      <c r="P200" s="72" t="str">
        <f aca="false">$D200</f>
        <v>Scrap, tooling &amp; NRE receipts</v>
      </c>
      <c r="Q200" s="34" t="str">
        <f aca="false">"Trade"</f>
        <v>Trade</v>
      </c>
      <c r="R200" s="78" t="s">
        <v>316</v>
      </c>
    </row>
    <row r="201" customFormat="false" ht="12.75" hidden="false" customHeight="true" outlineLevel="0" collapsed="false">
      <c r="A201" s="71"/>
      <c r="B201" s="70" t="s">
        <v>315</v>
      </c>
      <c r="C201" s="71" t="s">
        <v>173</v>
      </c>
      <c r="D201" s="72" t="s">
        <v>114</v>
      </c>
      <c r="E201" s="49" t="s">
        <v>206</v>
      </c>
      <c r="F201" s="66" t="n">
        <f aca="false">$H$24</f>
        <v>46283</v>
      </c>
      <c r="G201" s="74" t="n">
        <f aca="false">ROUND($G$24*Assumptions!$B$30,1)</f>
        <v>8.1</v>
      </c>
      <c r="H201" s="54" t="n">
        <v>14</v>
      </c>
      <c r="I201" s="68" t="n">
        <f aca="false">F201+H201</f>
        <v>46297</v>
      </c>
      <c r="J201" s="54" t="n">
        <v>0</v>
      </c>
      <c r="K201" s="34" t="s">
        <v>311</v>
      </c>
      <c r="L201" s="73"/>
      <c r="M201" s="76" t="s">
        <v>228</v>
      </c>
      <c r="N201" s="77" t="n">
        <f aca="false">$I201+$J201+Scenarios!$F$8</f>
        <v>46297</v>
      </c>
      <c r="O201" s="67" t="n">
        <f aca="false">$G201</f>
        <v>8.1</v>
      </c>
      <c r="P201" s="72" t="str">
        <f aca="false">$D201</f>
        <v>Scrap, tooling &amp; NRE receipts</v>
      </c>
      <c r="Q201" s="34" t="str">
        <f aca="false">"Trade"</f>
        <v>Trade</v>
      </c>
      <c r="R201" s="78" t="s">
        <v>316</v>
      </c>
    </row>
    <row r="202" customFormat="false" ht="12.75" hidden="false" customHeight="true" outlineLevel="0" collapsed="false">
      <c r="A202" s="71"/>
      <c r="B202" s="70" t="s">
        <v>315</v>
      </c>
      <c r="C202" s="71" t="s">
        <v>173</v>
      </c>
      <c r="D202" s="72" t="s">
        <v>114</v>
      </c>
      <c r="E202" s="49" t="s">
        <v>207</v>
      </c>
      <c r="F202" s="66" t="n">
        <f aca="false">$H$25</f>
        <v>46290</v>
      </c>
      <c r="G202" s="74" t="n">
        <f aca="false">ROUND($G$25*Assumptions!$B$30,1)</f>
        <v>8</v>
      </c>
      <c r="H202" s="54" t="n">
        <v>14</v>
      </c>
      <c r="I202" s="68" t="n">
        <f aca="false">F202+H202</f>
        <v>46304</v>
      </c>
      <c r="J202" s="54" t="n">
        <v>0</v>
      </c>
      <c r="K202" s="34" t="s">
        <v>311</v>
      </c>
      <c r="L202" s="73"/>
      <c r="M202" s="76" t="s">
        <v>228</v>
      </c>
      <c r="N202" s="77" t="n">
        <f aca="false">$I202+$J202+Scenarios!$F$8</f>
        <v>46304</v>
      </c>
      <c r="O202" s="67" t="n">
        <f aca="false">$G202</f>
        <v>8</v>
      </c>
      <c r="P202" s="72" t="str">
        <f aca="false">$D202</f>
        <v>Scrap, tooling &amp; NRE receipts</v>
      </c>
      <c r="Q202" s="34" t="str">
        <f aca="false">"Trade"</f>
        <v>Trade</v>
      </c>
      <c r="R202" s="78" t="s">
        <v>316</v>
      </c>
    </row>
    <row r="203" customFormat="false" ht="12.75" hidden="false" customHeight="true" outlineLevel="0" collapsed="false">
      <c r="A203" s="71"/>
      <c r="B203" s="70" t="s">
        <v>315</v>
      </c>
      <c r="C203" s="71" t="s">
        <v>173</v>
      </c>
      <c r="D203" s="72" t="s">
        <v>114</v>
      </c>
      <c r="E203" s="49" t="s">
        <v>208</v>
      </c>
      <c r="F203" s="66" t="n">
        <f aca="false">$H$26</f>
        <v>46297</v>
      </c>
      <c r="G203" s="74" t="n">
        <f aca="false">ROUND($G$26*Assumptions!$B$30,1)</f>
        <v>7.7</v>
      </c>
      <c r="H203" s="54" t="n">
        <v>14</v>
      </c>
      <c r="I203" s="68" t="n">
        <f aca="false">F203+H203</f>
        <v>46311</v>
      </c>
      <c r="J203" s="54" t="n">
        <v>0</v>
      </c>
      <c r="K203" s="34" t="s">
        <v>311</v>
      </c>
      <c r="L203" s="73"/>
      <c r="M203" s="76" t="s">
        <v>228</v>
      </c>
      <c r="N203" s="77" t="n">
        <f aca="false">$I203+$J203+Scenarios!$F$8</f>
        <v>46311</v>
      </c>
      <c r="O203" s="67" t="n">
        <f aca="false">$G203</f>
        <v>7.7</v>
      </c>
      <c r="P203" s="72" t="str">
        <f aca="false">$D203</f>
        <v>Scrap, tooling &amp; NRE receipts</v>
      </c>
      <c r="Q203" s="34" t="str">
        <f aca="false">"Trade"</f>
        <v>Trade</v>
      </c>
      <c r="R203" s="78" t="s">
        <v>316</v>
      </c>
    </row>
    <row r="204" customFormat="false" ht="12.75" hidden="false" customHeight="true" outlineLevel="0" collapsed="false">
      <c r="A204" s="71"/>
      <c r="B204" s="70" t="s">
        <v>315</v>
      </c>
      <c r="C204" s="71" t="s">
        <v>173</v>
      </c>
      <c r="D204" s="72" t="s">
        <v>114</v>
      </c>
      <c r="E204" s="49" t="s">
        <v>209</v>
      </c>
      <c r="F204" s="66" t="n">
        <f aca="false">$H$27</f>
        <v>46304</v>
      </c>
      <c r="G204" s="74" t="n">
        <f aca="false">ROUND($G$27*Assumptions!$B$30,1)</f>
        <v>7.7</v>
      </c>
      <c r="H204" s="54" t="n">
        <v>14</v>
      </c>
      <c r="I204" s="68" t="n">
        <f aca="false">F204+H204</f>
        <v>46318</v>
      </c>
      <c r="J204" s="54" t="n">
        <v>0</v>
      </c>
      <c r="K204" s="34" t="s">
        <v>311</v>
      </c>
      <c r="L204" s="73"/>
      <c r="M204" s="76" t="s">
        <v>228</v>
      </c>
      <c r="N204" s="77" t="n">
        <f aca="false">$I204+$J204+Scenarios!$F$8</f>
        <v>46318</v>
      </c>
      <c r="O204" s="67" t="n">
        <f aca="false">$G204</f>
        <v>7.7</v>
      </c>
      <c r="P204" s="72" t="str">
        <f aca="false">$D204</f>
        <v>Scrap, tooling &amp; NRE receipts</v>
      </c>
      <c r="Q204" s="34" t="str">
        <f aca="false">"Trade"</f>
        <v>Trade</v>
      </c>
      <c r="R204" s="78" t="s">
        <v>316</v>
      </c>
    </row>
    <row r="205" customFormat="false" ht="12.75" hidden="false" customHeight="true" outlineLevel="0" collapsed="false">
      <c r="A205" s="71"/>
      <c r="B205" s="70" t="s">
        <v>315</v>
      </c>
      <c r="C205" s="71" t="s">
        <v>173</v>
      </c>
      <c r="D205" s="72" t="s">
        <v>114</v>
      </c>
      <c r="E205" s="49" t="s">
        <v>210</v>
      </c>
      <c r="F205" s="66" t="n">
        <f aca="false">$H$28</f>
        <v>46311</v>
      </c>
      <c r="G205" s="74" t="n">
        <f aca="false">ROUND($G$28*Assumptions!$B$30,1)</f>
        <v>7.5</v>
      </c>
      <c r="H205" s="54" t="n">
        <v>14</v>
      </c>
      <c r="I205" s="68" t="n">
        <f aca="false">F205+H205</f>
        <v>46325</v>
      </c>
      <c r="J205" s="54" t="n">
        <v>0</v>
      </c>
      <c r="K205" s="34" t="s">
        <v>311</v>
      </c>
      <c r="L205" s="73"/>
      <c r="M205" s="76" t="s">
        <v>228</v>
      </c>
      <c r="N205" s="77" t="n">
        <f aca="false">$I205+$J205+Scenarios!$F$8</f>
        <v>46325</v>
      </c>
      <c r="O205" s="67" t="n">
        <f aca="false">$G205</f>
        <v>7.5</v>
      </c>
      <c r="P205" s="72" t="str">
        <f aca="false">$D205</f>
        <v>Scrap, tooling &amp; NRE receipts</v>
      </c>
      <c r="Q205" s="34" t="str">
        <f aca="false">"Trade"</f>
        <v>Trade</v>
      </c>
      <c r="R205" s="78" t="s">
        <v>316</v>
      </c>
    </row>
    <row r="206" customFormat="false" ht="12.75" hidden="false" customHeight="true" outlineLevel="0" collapsed="false">
      <c r="A206" s="71"/>
      <c r="B206" s="70" t="s">
        <v>315</v>
      </c>
      <c r="C206" s="71" t="s">
        <v>173</v>
      </c>
      <c r="D206" s="72" t="s">
        <v>114</v>
      </c>
      <c r="E206" s="49" t="s">
        <v>211</v>
      </c>
      <c r="F206" s="66" t="n">
        <f aca="false">$H$29</f>
        <v>46318</v>
      </c>
      <c r="G206" s="74" t="n">
        <f aca="false">ROUND($G$29*Assumptions!$B$30,1)</f>
        <v>7.4</v>
      </c>
      <c r="H206" s="54" t="n">
        <v>14</v>
      </c>
      <c r="I206" s="68" t="n">
        <f aca="false">F206+H206</f>
        <v>46332</v>
      </c>
      <c r="J206" s="54" t="n">
        <v>0</v>
      </c>
      <c r="K206" s="34" t="s">
        <v>311</v>
      </c>
      <c r="L206" s="73"/>
      <c r="M206" s="76" t="s">
        <v>228</v>
      </c>
      <c r="N206" s="77" t="n">
        <f aca="false">$I206+$J206+Scenarios!$F$8</f>
        <v>46332</v>
      </c>
      <c r="O206" s="67" t="n">
        <f aca="false">$G206</f>
        <v>7.4</v>
      </c>
      <c r="P206" s="72" t="str">
        <f aca="false">$D206</f>
        <v>Scrap, tooling &amp; NRE receipts</v>
      </c>
      <c r="Q206" s="34" t="str">
        <f aca="false">"Trade"</f>
        <v>Trade</v>
      </c>
      <c r="R206" s="78" t="s">
        <v>316</v>
      </c>
    </row>
    <row r="207" customFormat="false" ht="12.75" hidden="false" customHeight="true" outlineLevel="0" collapsed="false">
      <c r="A207" s="71"/>
      <c r="B207" s="70" t="s">
        <v>166</v>
      </c>
      <c r="C207" s="71" t="s">
        <v>167</v>
      </c>
      <c r="D207" s="72" t="s">
        <v>114</v>
      </c>
      <c r="E207" s="49" t="s">
        <v>317</v>
      </c>
      <c r="F207" s="73" t="n">
        <v>46255</v>
      </c>
      <c r="G207" s="80" t="n">
        <v>180</v>
      </c>
      <c r="H207" s="54" t="n">
        <v>30</v>
      </c>
      <c r="I207" s="68" t="n">
        <f aca="false">F207+H207</f>
        <v>46285</v>
      </c>
      <c r="J207" s="54" t="n">
        <v>4</v>
      </c>
      <c r="K207" s="34" t="s">
        <v>311</v>
      </c>
      <c r="L207" s="73"/>
      <c r="M207" s="76" t="s">
        <v>228</v>
      </c>
      <c r="N207" s="77" t="n">
        <f aca="false">$I207+$J207+Scenarios!$F$8</f>
        <v>46289</v>
      </c>
      <c r="O207" s="67" t="n">
        <f aca="false">$G207</f>
        <v>180</v>
      </c>
      <c r="P207" s="72" t="str">
        <f aca="false">$D207</f>
        <v>Scrap, tooling &amp; NRE receipts</v>
      </c>
      <c r="Q207" s="34" t="str">
        <f aca="false">"Trade"</f>
        <v>Trade</v>
      </c>
      <c r="R207" s="78" t="s">
        <v>318</v>
      </c>
    </row>
    <row r="208" customFormat="false" ht="19.4" hidden="false" customHeight="false" outlineLevel="0" collapsed="false">
      <c r="B208" s="59" t="s">
        <v>319</v>
      </c>
      <c r="C208" s="60"/>
      <c r="D208" s="60"/>
      <c r="E208" s="60"/>
      <c r="F208" s="60"/>
      <c r="G208" s="63" t="n">
        <f aca="false">SUM(G103:G207)</f>
        <v>8109.5</v>
      </c>
      <c r="H208" s="60"/>
      <c r="I208" s="60"/>
      <c r="J208" s="60"/>
      <c r="K208" s="60"/>
      <c r="L208" s="60"/>
      <c r="M208" s="60"/>
      <c r="N208" s="60"/>
      <c r="O208" s="63" t="n">
        <f aca="false">SUM(O103:O207)</f>
        <v>8109.5</v>
      </c>
      <c r="P208" s="60"/>
      <c r="Q208" s="60"/>
      <c r="R208" s="64" t="s">
        <v>320</v>
      </c>
    </row>
    <row r="210" customFormat="false" ht="16.5" hidden="false" customHeight="true" outlineLevel="0" collapsed="false">
      <c r="A210" s="10" t="s">
        <v>321</v>
      </c>
      <c r="B210" s="10"/>
      <c r="C210" s="10"/>
      <c r="D210" s="10"/>
      <c r="E210" s="10"/>
      <c r="F210" s="10"/>
      <c r="G210" s="10"/>
      <c r="H210" s="10"/>
      <c r="I210" s="10"/>
      <c r="J210" s="10"/>
      <c r="K210" s="10"/>
      <c r="L210" s="10"/>
      <c r="M210" s="10"/>
      <c r="N210" s="10"/>
      <c r="O210" s="10"/>
      <c r="P210" s="10"/>
      <c r="Q210" s="10"/>
      <c r="R210" s="10"/>
    </row>
    <row r="211" customFormat="false" ht="27.75" hidden="false" customHeight="true" outlineLevel="0" collapsed="false">
      <c r="B211" s="12" t="s">
        <v>322</v>
      </c>
      <c r="C211" s="12"/>
      <c r="D211" s="12" t="s">
        <v>157</v>
      </c>
      <c r="E211" s="12" t="s">
        <v>323</v>
      </c>
      <c r="F211" s="12" t="s">
        <v>324</v>
      </c>
      <c r="G211" s="12" t="s">
        <v>325</v>
      </c>
      <c r="H211" s="12" t="s">
        <v>326</v>
      </c>
      <c r="I211" s="12" t="s">
        <v>327</v>
      </c>
      <c r="J211" s="12" t="s">
        <v>328</v>
      </c>
      <c r="K211" s="12"/>
      <c r="L211" s="12"/>
      <c r="M211" s="12"/>
      <c r="N211" s="12" t="s">
        <v>222</v>
      </c>
      <c r="O211" s="12" t="s">
        <v>223</v>
      </c>
      <c r="P211" s="12" t="s">
        <v>224</v>
      </c>
      <c r="Q211" s="12" t="s">
        <v>225</v>
      </c>
      <c r="R211" s="12" t="s">
        <v>194</v>
      </c>
    </row>
    <row r="212" customFormat="false" ht="19.5" hidden="false" customHeight="true" outlineLevel="0" collapsed="false">
      <c r="A212" s="71"/>
      <c r="B212" s="50" t="str">
        <f aca="false">TEXT(C212,"mmmm yyyy")</f>
        <v>June 2026</v>
      </c>
      <c r="C212" s="73" t="n">
        <v>46203</v>
      </c>
      <c r="D212" s="72" t="s">
        <v>115</v>
      </c>
      <c r="E212" s="81" t="n">
        <v>290</v>
      </c>
      <c r="F212" s="74" t="n">
        <f aca="false">ROUND(E212*Assumptions!$B$47,1)</f>
        <v>78.3</v>
      </c>
      <c r="G212" s="81" t="n">
        <v>917</v>
      </c>
      <c r="H212" s="74" t="n">
        <f aca="false">ROUND(G212*Assumptions!$B$47,1)</f>
        <v>247.6</v>
      </c>
      <c r="I212" s="80" t="n">
        <f aca="false">ROUND(0*Assumptions!$B$47,1)</f>
        <v>0</v>
      </c>
      <c r="J212" s="67" t="n">
        <f aca="false">H212+I212-F212</f>
        <v>169.3</v>
      </c>
      <c r="N212" s="77" t="n">
        <f aca="false">C212+Assumptions!$B$46</f>
        <v>46253</v>
      </c>
      <c r="O212" s="67" t="n">
        <f aca="false">J212</f>
        <v>169.3</v>
      </c>
      <c r="P212" s="72" t="str">
        <f aca="false">$D212</f>
        <v>VAT refund (net reclaim position)</v>
      </c>
      <c r="Q212" s="34" t="str">
        <f aca="false">"Fixed"</f>
        <v>Fixed</v>
      </c>
      <c r="R212" s="78" t="s">
        <v>329</v>
      </c>
    </row>
    <row r="213" customFormat="false" ht="19.5" hidden="false" customHeight="true" outlineLevel="0" collapsed="false">
      <c r="A213" s="71"/>
      <c r="B213" s="50" t="str">
        <f aca="false">TEXT(C213,"mmmm yyyy")</f>
        <v>July 2026</v>
      </c>
      <c r="C213" s="73" t="n">
        <v>46234</v>
      </c>
      <c r="D213" s="72" t="s">
        <v>115</v>
      </c>
      <c r="E213" s="81" t="n">
        <v>296</v>
      </c>
      <c r="F213" s="74" t="n">
        <f aca="false">ROUND(E213*Assumptions!$B$47,1)</f>
        <v>79.9</v>
      </c>
      <c r="G213" s="81" t="n">
        <v>934</v>
      </c>
      <c r="H213" s="74" t="n">
        <f aca="false">ROUND(G213*Assumptions!$B$47,1)</f>
        <v>252.2</v>
      </c>
      <c r="I213" s="80" t="n">
        <f aca="false">ROUND(0*Assumptions!$B$47,1)</f>
        <v>0</v>
      </c>
      <c r="J213" s="67" t="n">
        <f aca="false">H213+I213-F213</f>
        <v>172.3</v>
      </c>
      <c r="N213" s="77" t="n">
        <f aca="false">C213+Assumptions!$B$46</f>
        <v>46284</v>
      </c>
      <c r="O213" s="67" t="n">
        <f aca="false">J213</f>
        <v>172.3</v>
      </c>
      <c r="P213" s="72" t="str">
        <f aca="false">$D213</f>
        <v>VAT refund (net reclaim position)</v>
      </c>
      <c r="Q213" s="34" t="str">
        <f aca="false">"Fixed"</f>
        <v>Fixed</v>
      </c>
      <c r="R213" s="78" t="s">
        <v>330</v>
      </c>
    </row>
    <row r="214" customFormat="false" ht="19.5" hidden="false" customHeight="true" outlineLevel="0" collapsed="false">
      <c r="A214" s="71"/>
      <c r="B214" s="50" t="str">
        <f aca="false">TEXT(C214,"mmmm yyyy")</f>
        <v>August 2026</v>
      </c>
      <c r="C214" s="73" t="n">
        <v>46265</v>
      </c>
      <c r="D214" s="72" t="s">
        <v>115</v>
      </c>
      <c r="E214" s="81" t="n">
        <v>118</v>
      </c>
      <c r="F214" s="74" t="n">
        <f aca="false">ROUND(E214*Assumptions!$B$47,1)</f>
        <v>31.9</v>
      </c>
      <c r="G214" s="81" t="n">
        <v>402</v>
      </c>
      <c r="H214" s="74" t="n">
        <f aca="false">ROUND(G214*Assumptions!$B$47,1)</f>
        <v>108.5</v>
      </c>
      <c r="I214" s="80" t="n">
        <f aca="false">ROUND(310*Assumptions!$B$47,1)</f>
        <v>83.7</v>
      </c>
      <c r="J214" s="67" t="n">
        <f aca="false">H214+I214-F214</f>
        <v>160.3</v>
      </c>
      <c r="N214" s="77" t="n">
        <f aca="false">C214+Assumptions!$B$46</f>
        <v>46315</v>
      </c>
      <c r="O214" s="67" t="n">
        <f aca="false">J214</f>
        <v>160.3</v>
      </c>
      <c r="P214" s="72" t="str">
        <f aca="false">$D214</f>
        <v>VAT refund (net reclaim position)</v>
      </c>
      <c r="Q214" s="34" t="str">
        <f aca="false">"Fixed"</f>
        <v>Fixed</v>
      </c>
      <c r="R214" s="78" t="s">
        <v>331</v>
      </c>
    </row>
    <row r="215" customFormat="false" ht="19.5" hidden="false" customHeight="true" outlineLevel="0" collapsed="false">
      <c r="A215" s="71"/>
      <c r="B215" s="50" t="str">
        <f aca="false">TEXT(C215,"mmmm yyyy")</f>
        <v>September 2026</v>
      </c>
      <c r="C215" s="73" t="n">
        <v>46295</v>
      </c>
      <c r="D215" s="72" t="s">
        <v>115</v>
      </c>
      <c r="E215" s="81" t="n">
        <v>305</v>
      </c>
      <c r="F215" s="74" t="n">
        <f aca="false">ROUND(E215*Assumptions!$B$47,1)</f>
        <v>82.4</v>
      </c>
      <c r="G215" s="81" t="n">
        <v>962</v>
      </c>
      <c r="H215" s="74" t="n">
        <f aca="false">ROUND(G215*Assumptions!$B$47,1)</f>
        <v>259.7</v>
      </c>
      <c r="I215" s="80" t="n">
        <f aca="false">ROUND(0*Assumptions!$B$47,1)</f>
        <v>0</v>
      </c>
      <c r="J215" s="67" t="n">
        <f aca="false">H215+I215-F215</f>
        <v>177.3</v>
      </c>
      <c r="N215" s="77" t="n">
        <f aca="false">C215+Assumptions!$B$46</f>
        <v>46345</v>
      </c>
      <c r="O215" s="67" t="n">
        <f aca="false">J215</f>
        <v>177.3</v>
      </c>
      <c r="P215" s="72" t="str">
        <f aca="false">$D215</f>
        <v>VAT refund (net reclaim position)</v>
      </c>
      <c r="Q215" s="34" t="str">
        <f aca="false">"Fixed"</f>
        <v>Fixed</v>
      </c>
      <c r="R215" s="78" t="s">
        <v>332</v>
      </c>
    </row>
    <row r="216" customFormat="false" ht="19.4" hidden="false" customHeight="false" outlineLevel="0" collapsed="false">
      <c r="B216" s="59" t="s">
        <v>333</v>
      </c>
      <c r="C216" s="60"/>
      <c r="D216" s="60"/>
      <c r="E216" s="60"/>
      <c r="F216" s="60"/>
      <c r="G216" s="60"/>
      <c r="H216" s="60"/>
      <c r="I216" s="60"/>
      <c r="J216" s="63" t="n">
        <f aca="false">SUM(J212:J215)</f>
        <v>679.2</v>
      </c>
      <c r="N216" s="60"/>
      <c r="O216" s="63" t="n">
        <f aca="false">SUM(O212:O215)</f>
        <v>679.2</v>
      </c>
      <c r="P216" s="60"/>
      <c r="Q216" s="60"/>
      <c r="R216" s="64" t="s">
        <v>334</v>
      </c>
    </row>
  </sheetData>
  <mergeCells count="7">
    <mergeCell ref="A1:R1"/>
    <mergeCell ref="A2:R2"/>
    <mergeCell ref="A4:R4"/>
    <mergeCell ref="A15:R15"/>
    <mergeCell ref="A32:R32"/>
    <mergeCell ref="A101:R101"/>
    <mergeCell ref="A210:R210"/>
  </mergeCells>
  <printOptions headings="false" gridLines="false" gridLinesSet="true" horizontalCentered="false" verticalCentered="false"/>
  <pageMargins left="0.3" right="0.3" top="0.4" bottom="0.4" header="0.5" footer="0.5"/>
  <pageSetup paperSize="9" scale="100" fitToWidth="1" fitToHeight="0" pageOrder="downThenOver" orientation="landscape" blackAndWhite="false" draft="false" cellComments="none" horizontalDpi="300" verticalDpi="300" copies="1"/>
  <headerFooter differentFirst="false" differentOddEven="false">
    <oddHeader>&amp;L&amp;"Arial,Bold"&amp;9Halcyon Metalworks Kft.&amp;R&amp;"Arial,Regular"&amp;913-WEEK ROLLING CASH FLOW FORECAST</oddHeader>
    <oddFooter>&amp;L&amp;"Arial,Regular"&amp;8Illustrative sample - fictional data - prepared by Tarlan Charkasov, ACCA&amp;R&amp;"Arial,Regular"&amp;8Page &amp;P of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2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34"/>
    <col collapsed="false" customWidth="true" hidden="false" outlineLevel="0" max="3" min="3" style="0" width="7"/>
    <col collapsed="false" customWidth="true" hidden="false" outlineLevel="0" max="4" min="4" style="0" width="40"/>
    <col collapsed="false" customWidth="true" hidden="false" outlineLevel="0" max="5" min="5" style="0" width="15"/>
    <col collapsed="false" customWidth="true" hidden="false" outlineLevel="0" max="7" min="6" style="0" width="12"/>
    <col collapsed="false" customWidth="true" hidden="false" outlineLevel="0" max="8" min="8" style="0" width="8"/>
    <col collapsed="false" customWidth="true" hidden="false" outlineLevel="0" max="9" min="9" style="0" width="12"/>
    <col collapsed="false" customWidth="true" hidden="false" outlineLevel="0" max="10" min="10" style="0" width="9"/>
    <col collapsed="false" customWidth="true" hidden="false" outlineLevel="0" max="11" min="11" style="0" width="12"/>
    <col collapsed="false" customWidth="true" hidden="false" outlineLevel="0" max="12" min="12" style="0" width="13"/>
    <col collapsed="false" customWidth="true" hidden="false" outlineLevel="0" max="13" min="13" style="0" width="12"/>
    <col collapsed="false" customWidth="true" hidden="false" outlineLevel="0" max="14" min="14" style="0" width="60"/>
  </cols>
  <sheetData>
    <row r="1" customFormat="false" ht="24" hidden="false" customHeight="true" outlineLevel="0" collapsed="false">
      <c r="A1" s="29" t="s">
        <v>335</v>
      </c>
      <c r="B1" s="29"/>
      <c r="C1" s="29"/>
      <c r="D1" s="29"/>
      <c r="E1" s="29"/>
      <c r="F1" s="29"/>
      <c r="G1" s="29"/>
      <c r="H1" s="29"/>
      <c r="I1" s="29"/>
      <c r="J1" s="29"/>
      <c r="K1" s="29"/>
      <c r="L1" s="29"/>
      <c r="M1" s="29"/>
      <c r="N1" s="29"/>
    </row>
    <row r="2" customFormat="false" ht="15" hidden="false" customHeight="true" outlineLevel="0" collapsed="false">
      <c r="A2" s="48" t="s">
        <v>336</v>
      </c>
      <c r="B2" s="48"/>
      <c r="C2" s="48"/>
      <c r="D2" s="48"/>
      <c r="E2" s="48"/>
      <c r="F2" s="48"/>
      <c r="G2" s="48"/>
      <c r="H2" s="48"/>
      <c r="I2" s="48"/>
      <c r="J2" s="48"/>
      <c r="K2" s="48"/>
      <c r="L2" s="48"/>
      <c r="M2" s="48"/>
      <c r="N2" s="48"/>
    </row>
    <row r="4" customFormat="false" ht="16.5" hidden="false" customHeight="true" outlineLevel="0" collapsed="false">
      <c r="A4" s="10" t="s">
        <v>337</v>
      </c>
      <c r="B4" s="10"/>
      <c r="C4" s="10"/>
      <c r="D4" s="10"/>
      <c r="E4" s="10"/>
      <c r="F4" s="10"/>
      <c r="G4" s="10"/>
      <c r="H4" s="10"/>
      <c r="I4" s="10"/>
      <c r="J4" s="10"/>
      <c r="K4" s="10"/>
      <c r="L4" s="10"/>
      <c r="M4" s="10"/>
      <c r="N4" s="10"/>
    </row>
    <row r="5" customFormat="false" ht="27.75" hidden="false" customHeight="true" outlineLevel="0" collapsed="false">
      <c r="B5" s="12" t="s">
        <v>338</v>
      </c>
      <c r="C5" s="12" t="s">
        <v>156</v>
      </c>
      <c r="D5" s="12" t="s">
        <v>157</v>
      </c>
      <c r="E5" s="12" t="s">
        <v>339</v>
      </c>
      <c r="F5" s="12" t="s">
        <v>160</v>
      </c>
      <c r="G5" s="12" t="s">
        <v>340</v>
      </c>
      <c r="H5" s="12" t="s">
        <v>341</v>
      </c>
      <c r="I5" s="12" t="s">
        <v>342</v>
      </c>
      <c r="J5" s="12"/>
      <c r="K5" s="12"/>
      <c r="L5" s="12"/>
      <c r="M5" s="12"/>
      <c r="N5" s="12" t="s">
        <v>165</v>
      </c>
    </row>
    <row r="6" customFormat="false" ht="19.5" hidden="false" customHeight="true" outlineLevel="0" collapsed="false">
      <c r="A6" s="49" t="n">
        <v>1</v>
      </c>
      <c r="B6" s="50" t="s">
        <v>343</v>
      </c>
      <c r="C6" s="51" t="s">
        <v>173</v>
      </c>
      <c r="D6" s="52" t="s">
        <v>119</v>
      </c>
      <c r="E6" s="53" t="n">
        <v>0.45</v>
      </c>
      <c r="F6" s="54" t="n">
        <v>45</v>
      </c>
      <c r="G6" s="49" t="s">
        <v>92</v>
      </c>
      <c r="H6" s="82" t="s">
        <v>312</v>
      </c>
      <c r="I6" s="56" t="n">
        <f aca="false">SUMIFS($M$34:$M$72,$B$34:$B$72,$B6,$L$34:$L$72,"&gt;="&amp;'Weekly Cash Flow'!$B$5,$L$34:$L$72,"&lt;="&amp;'Weekly Cash Flow'!$N$6)+SUMIFS($M$77:$M$180,$B$77:$B$180,$B6,$L$77:$L$180,"&gt;="&amp;'Weekly Cash Flow'!$B$5,$L$77:$L$180,"&lt;="&amp;'Weekly Cash Flow'!$N$6)</f>
        <v>1569.4</v>
      </c>
      <c r="N6" s="58" t="s">
        <v>344</v>
      </c>
    </row>
    <row r="7" customFormat="false" ht="19.5" hidden="false" customHeight="true" outlineLevel="0" collapsed="false">
      <c r="A7" s="49" t="n">
        <v>2</v>
      </c>
      <c r="B7" s="50" t="s">
        <v>345</v>
      </c>
      <c r="C7" s="51" t="s">
        <v>167</v>
      </c>
      <c r="D7" s="52" t="s">
        <v>119</v>
      </c>
      <c r="E7" s="53" t="n">
        <v>0.35</v>
      </c>
      <c r="F7" s="54" t="n">
        <v>45</v>
      </c>
      <c r="G7" s="49" t="s">
        <v>92</v>
      </c>
      <c r="H7" s="82" t="s">
        <v>312</v>
      </c>
      <c r="I7" s="56" t="n">
        <f aca="false">SUMIFS($M$34:$M$72,$B$34:$B$72,$B7,$L$34:$L$72,"&gt;="&amp;'Weekly Cash Flow'!$B$5,$L$34:$L$72,"&lt;="&amp;'Weekly Cash Flow'!$N$6)+SUMIFS($M$77:$M$180,$B$77:$B$180,$B7,$L$77:$L$180,"&gt;="&amp;'Weekly Cash Flow'!$B$5,$L$77:$L$180,"&lt;="&amp;'Weekly Cash Flow'!$N$6)</f>
        <v>1220.6</v>
      </c>
      <c r="N7" s="58" t="s">
        <v>346</v>
      </c>
    </row>
    <row r="8" customFormat="false" ht="19.5" hidden="false" customHeight="true" outlineLevel="0" collapsed="false">
      <c r="A8" s="49" t="n">
        <v>3</v>
      </c>
      <c r="B8" s="50" t="s">
        <v>347</v>
      </c>
      <c r="C8" s="51" t="s">
        <v>348</v>
      </c>
      <c r="D8" s="52" t="s">
        <v>119</v>
      </c>
      <c r="E8" s="53" t="n">
        <v>0.2</v>
      </c>
      <c r="F8" s="54" t="n">
        <v>60</v>
      </c>
      <c r="G8" s="49" t="s">
        <v>92</v>
      </c>
      <c r="H8" s="82" t="s">
        <v>312</v>
      </c>
      <c r="I8" s="56" t="n">
        <f aca="false">SUMIFS($M$34:$M$72,$B$34:$B$72,$B8,$L$34:$L$72,"&gt;="&amp;'Weekly Cash Flow'!$B$5,$L$34:$L$72,"&lt;="&amp;'Weekly Cash Flow'!$N$6)+SUMIFS($M$77:$M$180,$B$77:$B$180,$B8,$L$77:$L$180,"&gt;="&amp;'Weekly Cash Flow'!$B$5,$L$77:$L$180,"&lt;="&amp;'Weekly Cash Flow'!$N$6)</f>
        <v>705.6</v>
      </c>
      <c r="N8" s="58" t="s">
        <v>349</v>
      </c>
    </row>
    <row r="9" customFormat="false" ht="19.5" hidden="false" customHeight="true" outlineLevel="0" collapsed="false">
      <c r="A9" s="49" t="n">
        <v>4</v>
      </c>
      <c r="B9" s="50" t="s">
        <v>350</v>
      </c>
      <c r="C9" s="51" t="s">
        <v>173</v>
      </c>
      <c r="D9" s="52" t="s">
        <v>120</v>
      </c>
      <c r="E9" s="53" t="n">
        <v>0.62</v>
      </c>
      <c r="F9" s="54" t="n">
        <v>30</v>
      </c>
      <c r="G9" s="49" t="s">
        <v>351</v>
      </c>
      <c r="H9" s="82" t="s">
        <v>312</v>
      </c>
      <c r="I9" s="56" t="n">
        <f aca="false">SUMIFS($M$34:$M$72,$B$34:$B$72,$B9,$L$34:$L$72,"&gt;="&amp;'Weekly Cash Flow'!$B$5,$L$34:$L$72,"&lt;="&amp;'Weekly Cash Flow'!$N$6)+SUMIFS($M$77:$M$180,$B$77:$B$180,$B9,$L$77:$L$180,"&gt;="&amp;'Weekly Cash Flow'!$B$5,$L$77:$L$180,"&lt;="&amp;'Weekly Cash Flow'!$N$6)</f>
        <v>311.8</v>
      </c>
      <c r="N9" s="58" t="s">
        <v>352</v>
      </c>
    </row>
    <row r="10" customFormat="false" ht="19.5" hidden="false" customHeight="true" outlineLevel="0" collapsed="false">
      <c r="A10" s="49" t="n">
        <v>5</v>
      </c>
      <c r="B10" s="50" t="s">
        <v>353</v>
      </c>
      <c r="C10" s="51" t="s">
        <v>173</v>
      </c>
      <c r="D10" s="52" t="s">
        <v>120</v>
      </c>
      <c r="E10" s="53" t="n">
        <v>0.38</v>
      </c>
      <c r="F10" s="54" t="n">
        <v>30</v>
      </c>
      <c r="G10" s="49" t="s">
        <v>351</v>
      </c>
      <c r="H10" s="82" t="s">
        <v>312</v>
      </c>
      <c r="I10" s="56" t="n">
        <f aca="false">SUMIFS($M$34:$M$72,$B$34:$B$72,$B10,$L$34:$L$72,"&gt;="&amp;'Weekly Cash Flow'!$B$5,$L$34:$L$72,"&lt;="&amp;'Weekly Cash Flow'!$N$6)+SUMIFS($M$77:$M$180,$B$77:$B$180,$B10,$L$77:$L$180,"&gt;="&amp;'Weekly Cash Flow'!$B$5,$L$77:$L$180,"&lt;="&amp;'Weekly Cash Flow'!$N$6)</f>
        <v>191</v>
      </c>
      <c r="N10" s="58" t="s">
        <v>354</v>
      </c>
    </row>
    <row r="11" customFormat="false" ht="19.5" hidden="false" customHeight="true" outlineLevel="0" collapsed="false">
      <c r="A11" s="49" t="n">
        <v>6</v>
      </c>
      <c r="B11" s="50" t="s">
        <v>355</v>
      </c>
      <c r="C11" s="51" t="s">
        <v>167</v>
      </c>
      <c r="D11" s="52" t="s">
        <v>121</v>
      </c>
      <c r="E11" s="53" t="n">
        <v>0.63</v>
      </c>
      <c r="F11" s="54" t="n">
        <v>30</v>
      </c>
      <c r="G11" s="49" t="s">
        <v>351</v>
      </c>
      <c r="H11" s="82" t="s">
        <v>228</v>
      </c>
      <c r="I11" s="56" t="n">
        <f aca="false">SUMIFS($M$34:$M$72,$B$34:$B$72,$B11,$L$34:$L$72,"&gt;="&amp;'Weekly Cash Flow'!$B$5,$L$34:$L$72,"&lt;="&amp;'Weekly Cash Flow'!$N$6)+SUMIFS($M$77:$M$180,$B$77:$B$180,$B11,$L$77:$L$180,"&gt;="&amp;'Weekly Cash Flow'!$B$5,$L$77:$L$180,"&lt;="&amp;'Weekly Cash Flow'!$N$6)</f>
        <v>290.4</v>
      </c>
      <c r="N11" s="58" t="s">
        <v>356</v>
      </c>
    </row>
    <row r="12" customFormat="false" ht="19.5" hidden="false" customHeight="true" outlineLevel="0" collapsed="false">
      <c r="A12" s="49" t="n">
        <v>7</v>
      </c>
      <c r="B12" s="50" t="s">
        <v>357</v>
      </c>
      <c r="C12" s="51" t="s">
        <v>176</v>
      </c>
      <c r="D12" s="52" t="s">
        <v>121</v>
      </c>
      <c r="E12" s="53" t="n">
        <v>0.37</v>
      </c>
      <c r="F12" s="54" t="n">
        <v>30</v>
      </c>
      <c r="G12" s="49" t="s">
        <v>351</v>
      </c>
      <c r="H12" s="82" t="s">
        <v>228</v>
      </c>
      <c r="I12" s="56" t="n">
        <f aca="false">SUMIFS($M$34:$M$72,$B$34:$B$72,$B12,$L$34:$L$72,"&gt;="&amp;'Weekly Cash Flow'!$B$5,$L$34:$L$72,"&lt;="&amp;'Weekly Cash Flow'!$N$6)+SUMIFS($M$77:$M$180,$B$77:$B$180,$B12,$L$77:$L$180,"&gt;="&amp;'Weekly Cash Flow'!$B$5,$L$77:$L$180,"&lt;="&amp;'Weekly Cash Flow'!$N$6)</f>
        <v>170.5</v>
      </c>
      <c r="N12" s="58" t="s">
        <v>358</v>
      </c>
    </row>
    <row r="13" customFormat="false" ht="19.5" hidden="false" customHeight="true" outlineLevel="0" collapsed="false">
      <c r="A13" s="49" t="n">
        <v>8</v>
      </c>
      <c r="B13" s="50" t="s">
        <v>359</v>
      </c>
      <c r="C13" s="51" t="s">
        <v>173</v>
      </c>
      <c r="D13" s="52" t="s">
        <v>123</v>
      </c>
      <c r="E13" s="53" t="n">
        <v>1</v>
      </c>
      <c r="F13" s="54" t="n">
        <v>30</v>
      </c>
      <c r="G13" s="49" t="s">
        <v>351</v>
      </c>
      <c r="H13" s="82" t="s">
        <v>228</v>
      </c>
      <c r="I13" s="56" t="n">
        <f aca="false">SUMIFS($M$34:$M$72,$B$34:$B$72,$B13,$L$34:$L$72,"&gt;="&amp;'Weekly Cash Flow'!$B$5,$L$34:$L$72,"&lt;="&amp;'Weekly Cash Flow'!$N$6)+SUMIFS($M$77:$M$180,$B$77:$B$180,$B13,$L$77:$L$180,"&gt;="&amp;'Weekly Cash Flow'!$B$5,$L$77:$L$180,"&lt;="&amp;'Weekly Cash Flow'!$N$6)</f>
        <v>209.4</v>
      </c>
      <c r="N13" s="58" t="s">
        <v>360</v>
      </c>
    </row>
    <row r="15" customFormat="false" ht="16.5" hidden="false" customHeight="true" outlineLevel="0" collapsed="false">
      <c r="A15" s="10" t="s">
        <v>361</v>
      </c>
      <c r="B15" s="10"/>
      <c r="C15" s="10"/>
      <c r="D15" s="10"/>
      <c r="E15" s="10"/>
      <c r="F15" s="10"/>
      <c r="G15" s="10"/>
      <c r="H15" s="10"/>
      <c r="I15" s="10"/>
      <c r="J15" s="10"/>
      <c r="K15" s="10"/>
      <c r="L15" s="10"/>
      <c r="M15" s="10"/>
      <c r="N15" s="10"/>
    </row>
    <row r="16" customFormat="false" ht="27.75" hidden="false" customHeight="true" outlineLevel="0" collapsed="false">
      <c r="B16" s="12" t="s">
        <v>103</v>
      </c>
      <c r="C16" s="12"/>
      <c r="D16" s="12" t="s">
        <v>105</v>
      </c>
      <c r="E16" s="12" t="s">
        <v>362</v>
      </c>
      <c r="F16" s="12" t="s">
        <v>363</v>
      </c>
      <c r="G16" s="12" t="s">
        <v>364</v>
      </c>
      <c r="H16" s="12" t="s">
        <v>365</v>
      </c>
      <c r="I16" s="12" t="s">
        <v>366</v>
      </c>
      <c r="J16" s="12" t="s">
        <v>193</v>
      </c>
      <c r="K16" s="12"/>
      <c r="L16" s="12"/>
      <c r="M16" s="12"/>
      <c r="N16" s="12" t="s">
        <v>194</v>
      </c>
    </row>
    <row r="17" customFormat="false" ht="13.5" hidden="false" customHeight="true" outlineLevel="0" collapsed="false">
      <c r="A17" s="49" t="n">
        <v>1</v>
      </c>
      <c r="B17" s="13" t="s">
        <v>195</v>
      </c>
      <c r="C17" s="65"/>
      <c r="D17" s="66" t="n">
        <f aca="false">'Weekly Cash Flow'!B$5</f>
        <v>46230</v>
      </c>
      <c r="E17" s="83" t="n">
        <f aca="false">'Receipts Build'!$G$17</f>
        <v>669.2</v>
      </c>
      <c r="F17" s="74" t="n">
        <f aca="false">ROUND($E17*Assumptions!$B$26,1)</f>
        <v>307.8</v>
      </c>
      <c r="G17" s="74" t="n">
        <f aca="false">ROUND($E17*Assumptions!$B$27,1)</f>
        <v>40.2</v>
      </c>
      <c r="H17" s="74" t="n">
        <f aca="false">ROUND($E17*Assumptions!$B$28,1)</f>
        <v>36.8</v>
      </c>
      <c r="I17" s="74" t="n">
        <f aca="false">ROUND($E17*Assumptions!$B$29,1)</f>
        <v>16.7</v>
      </c>
      <c r="J17" s="66" t="n">
        <f aca="false">'Receipts Build'!$H$17</f>
        <v>46234</v>
      </c>
      <c r="N17" s="58" t="s">
        <v>196</v>
      </c>
    </row>
    <row r="18" customFormat="false" ht="13.5" hidden="false" customHeight="true" outlineLevel="0" collapsed="false">
      <c r="A18" s="49" t="n">
        <v>2</v>
      </c>
      <c r="B18" s="13" t="s">
        <v>197</v>
      </c>
      <c r="C18" s="65"/>
      <c r="D18" s="66" t="n">
        <f aca="false">'Weekly Cash Flow'!C$5</f>
        <v>46237</v>
      </c>
      <c r="E18" s="83" t="n">
        <f aca="false">'Receipts Build'!$G$18</f>
        <v>682.6</v>
      </c>
      <c r="F18" s="74" t="n">
        <f aca="false">ROUND($E18*Assumptions!$B$26,1)</f>
        <v>314</v>
      </c>
      <c r="G18" s="74" t="n">
        <f aca="false">ROUND($E18*Assumptions!$B$27,1)</f>
        <v>41</v>
      </c>
      <c r="H18" s="74" t="n">
        <f aca="false">ROUND($E18*Assumptions!$B$28,1)</f>
        <v>37.5</v>
      </c>
      <c r="I18" s="74" t="n">
        <f aca="false">ROUND($E18*Assumptions!$B$29,1)</f>
        <v>17.1</v>
      </c>
      <c r="J18" s="66" t="n">
        <f aca="false">'Receipts Build'!$H$18</f>
        <v>46241</v>
      </c>
      <c r="N18" s="58" t="s">
        <v>196</v>
      </c>
    </row>
    <row r="19" customFormat="false" ht="13.5" hidden="false" customHeight="true" outlineLevel="0" collapsed="false">
      <c r="A19" s="49" t="n">
        <v>3</v>
      </c>
      <c r="B19" s="13" t="s">
        <v>198</v>
      </c>
      <c r="C19" s="65"/>
      <c r="D19" s="66" t="n">
        <f aca="false">'Weekly Cash Flow'!D$5</f>
        <v>46244</v>
      </c>
      <c r="E19" s="83" t="n">
        <f aca="false">'Receipts Build'!$G$19</f>
        <v>133.8</v>
      </c>
      <c r="F19" s="74" t="n">
        <f aca="false">ROUND($E19*Assumptions!$B$26,1)</f>
        <v>61.5</v>
      </c>
      <c r="G19" s="74" t="n">
        <f aca="false">ROUND($E19*Assumptions!$B$27,1)</f>
        <v>8</v>
      </c>
      <c r="H19" s="74" t="n">
        <f aca="false">ROUND($E19*Assumptions!$B$28,1)</f>
        <v>7.4</v>
      </c>
      <c r="I19" s="74" t="n">
        <f aca="false">ROUND($E19*Assumptions!$B$29,1)</f>
        <v>3.3</v>
      </c>
      <c r="J19" s="66" t="n">
        <f aca="false">'Receipts Build'!$H$19</f>
        <v>46248</v>
      </c>
      <c r="N19" s="58" t="s">
        <v>199</v>
      </c>
    </row>
    <row r="20" customFormat="false" ht="13.5" hidden="false" customHeight="true" outlineLevel="0" collapsed="false">
      <c r="A20" s="49" t="n">
        <v>4</v>
      </c>
      <c r="B20" s="13" t="s">
        <v>200</v>
      </c>
      <c r="C20" s="65"/>
      <c r="D20" s="66" t="n">
        <f aca="false">'Weekly Cash Flow'!E$5</f>
        <v>46251</v>
      </c>
      <c r="E20" s="83" t="n">
        <f aca="false">'Receipts Build'!$G$20</f>
        <v>133.8</v>
      </c>
      <c r="F20" s="74" t="n">
        <f aca="false">ROUND($E20*Assumptions!$B$26,1)</f>
        <v>61.5</v>
      </c>
      <c r="G20" s="74" t="n">
        <f aca="false">ROUND($E20*Assumptions!$B$27,1)</f>
        <v>8</v>
      </c>
      <c r="H20" s="74" t="n">
        <f aca="false">ROUND($E20*Assumptions!$B$28,1)</f>
        <v>7.4</v>
      </c>
      <c r="I20" s="74" t="n">
        <f aca="false">ROUND($E20*Assumptions!$B$29,1)</f>
        <v>3.3</v>
      </c>
      <c r="J20" s="66" t="n">
        <f aca="false">'Receipts Build'!$H$20</f>
        <v>46255</v>
      </c>
      <c r="N20" s="58" t="s">
        <v>199</v>
      </c>
    </row>
    <row r="21" customFormat="false" ht="13.5" hidden="false" customHeight="true" outlineLevel="0" collapsed="false">
      <c r="A21" s="49" t="n">
        <v>5</v>
      </c>
      <c r="B21" s="13" t="s">
        <v>201</v>
      </c>
      <c r="C21" s="65"/>
      <c r="D21" s="66" t="n">
        <f aca="false">'Weekly Cash Flow'!F$5</f>
        <v>46258</v>
      </c>
      <c r="E21" s="83" t="n">
        <f aca="false">'Receipts Build'!$G$21</f>
        <v>568.8</v>
      </c>
      <c r="F21" s="74" t="n">
        <f aca="false">ROUND($E21*Assumptions!$B$26,1)</f>
        <v>261.6</v>
      </c>
      <c r="G21" s="74" t="n">
        <f aca="false">ROUND($E21*Assumptions!$B$27,1)</f>
        <v>34.1</v>
      </c>
      <c r="H21" s="74" t="n">
        <f aca="false">ROUND($E21*Assumptions!$B$28,1)</f>
        <v>31.3</v>
      </c>
      <c r="I21" s="74" t="n">
        <f aca="false">ROUND($E21*Assumptions!$B$29,1)</f>
        <v>14.2</v>
      </c>
      <c r="J21" s="66" t="n">
        <f aca="false">'Receipts Build'!$H$21</f>
        <v>46262</v>
      </c>
      <c r="N21" s="58" t="s">
        <v>202</v>
      </c>
    </row>
    <row r="22" customFormat="false" ht="13.5" hidden="false" customHeight="true" outlineLevel="0" collapsed="false">
      <c r="A22" s="49" t="n">
        <v>6</v>
      </c>
      <c r="B22" s="13" t="s">
        <v>203</v>
      </c>
      <c r="C22" s="65"/>
      <c r="D22" s="66" t="n">
        <f aca="false">'Weekly Cash Flow'!G$5</f>
        <v>46265</v>
      </c>
      <c r="E22" s="83" t="n">
        <f aca="false">'Receipts Build'!$G$22</f>
        <v>702.7</v>
      </c>
      <c r="F22" s="74" t="n">
        <f aca="false">ROUND($E22*Assumptions!$B$26,1)</f>
        <v>323.2</v>
      </c>
      <c r="G22" s="74" t="n">
        <f aca="false">ROUND($E22*Assumptions!$B$27,1)</f>
        <v>42.2</v>
      </c>
      <c r="H22" s="74" t="n">
        <f aca="false">ROUND($E22*Assumptions!$B$28,1)</f>
        <v>38.6</v>
      </c>
      <c r="I22" s="74" t="n">
        <f aca="false">ROUND($E22*Assumptions!$B$29,1)</f>
        <v>17.6</v>
      </c>
      <c r="J22" s="66" t="n">
        <f aca="false">'Receipts Build'!$H$22</f>
        <v>46269</v>
      </c>
      <c r="N22" s="58" t="s">
        <v>196</v>
      </c>
    </row>
    <row r="23" customFormat="false" ht="13.5" hidden="false" customHeight="true" outlineLevel="0" collapsed="false">
      <c r="A23" s="49" t="n">
        <v>7</v>
      </c>
      <c r="B23" s="13" t="s">
        <v>204</v>
      </c>
      <c r="C23" s="65"/>
      <c r="D23" s="66" t="n">
        <f aca="false">'Weekly Cash Flow'!H$5</f>
        <v>46272</v>
      </c>
      <c r="E23" s="83" t="n">
        <f aca="false">'Receipts Build'!$G$23</f>
        <v>736.2</v>
      </c>
      <c r="F23" s="74" t="n">
        <f aca="false">ROUND($E23*Assumptions!$B$26,1)</f>
        <v>338.7</v>
      </c>
      <c r="G23" s="74" t="n">
        <f aca="false">ROUND($E23*Assumptions!$B$27,1)</f>
        <v>44.2</v>
      </c>
      <c r="H23" s="74" t="n">
        <f aca="false">ROUND($E23*Assumptions!$B$28,1)</f>
        <v>40.5</v>
      </c>
      <c r="I23" s="74" t="n">
        <f aca="false">ROUND($E23*Assumptions!$B$29,1)</f>
        <v>18.4</v>
      </c>
      <c r="J23" s="66" t="n">
        <f aca="false">'Receipts Build'!$H$23</f>
        <v>46276</v>
      </c>
      <c r="N23" s="58" t="s">
        <v>205</v>
      </c>
    </row>
    <row r="24" customFormat="false" ht="13.5" hidden="false" customHeight="true" outlineLevel="0" collapsed="false">
      <c r="A24" s="49" t="n">
        <v>8</v>
      </c>
      <c r="B24" s="13" t="s">
        <v>206</v>
      </c>
      <c r="C24" s="65"/>
      <c r="D24" s="66" t="n">
        <f aca="false">'Weekly Cash Flow'!I$5</f>
        <v>46279</v>
      </c>
      <c r="E24" s="83" t="n">
        <f aca="false">'Receipts Build'!$G$24</f>
        <v>736.2</v>
      </c>
      <c r="F24" s="74" t="n">
        <f aca="false">ROUND($E24*Assumptions!$B$26,1)</f>
        <v>338.7</v>
      </c>
      <c r="G24" s="74" t="n">
        <f aca="false">ROUND($E24*Assumptions!$B$27,1)</f>
        <v>44.2</v>
      </c>
      <c r="H24" s="74" t="n">
        <f aca="false">ROUND($E24*Assumptions!$B$28,1)</f>
        <v>40.5</v>
      </c>
      <c r="I24" s="74" t="n">
        <f aca="false">ROUND($E24*Assumptions!$B$29,1)</f>
        <v>18.4</v>
      </c>
      <c r="J24" s="66" t="n">
        <f aca="false">'Receipts Build'!$H$24</f>
        <v>46283</v>
      </c>
      <c r="N24" s="58" t="s">
        <v>205</v>
      </c>
    </row>
    <row r="25" customFormat="false" ht="13.5" hidden="false" customHeight="true" outlineLevel="0" collapsed="false">
      <c r="A25" s="49" t="n">
        <v>9</v>
      </c>
      <c r="B25" s="13" t="s">
        <v>207</v>
      </c>
      <c r="C25" s="65"/>
      <c r="D25" s="66" t="n">
        <f aca="false">'Weekly Cash Flow'!J$5</f>
        <v>46286</v>
      </c>
      <c r="E25" s="83" t="n">
        <f aca="false">'Receipts Build'!$G$25</f>
        <v>722.8</v>
      </c>
      <c r="F25" s="74" t="n">
        <f aca="false">ROUND($E25*Assumptions!$B$26,1)</f>
        <v>332.5</v>
      </c>
      <c r="G25" s="74" t="n">
        <f aca="false">ROUND($E25*Assumptions!$B$27,1)</f>
        <v>43.4</v>
      </c>
      <c r="H25" s="74" t="n">
        <f aca="false">ROUND($E25*Assumptions!$B$28,1)</f>
        <v>39.8</v>
      </c>
      <c r="I25" s="74" t="n">
        <f aca="false">ROUND($E25*Assumptions!$B$29,1)</f>
        <v>18.1</v>
      </c>
      <c r="J25" s="66" t="n">
        <f aca="false">'Receipts Build'!$H$25</f>
        <v>46290</v>
      </c>
      <c r="N25" s="58" t="s">
        <v>196</v>
      </c>
    </row>
    <row r="26" customFormat="false" ht="13.5" hidden="false" customHeight="true" outlineLevel="0" collapsed="false">
      <c r="A26" s="49" t="n">
        <v>10</v>
      </c>
      <c r="B26" s="13" t="s">
        <v>208</v>
      </c>
      <c r="C26" s="65"/>
      <c r="D26" s="66" t="n">
        <f aca="false">'Weekly Cash Flow'!K$5</f>
        <v>46293</v>
      </c>
      <c r="E26" s="83" t="n">
        <f aca="false">'Receipts Build'!$G$26</f>
        <v>702.7</v>
      </c>
      <c r="F26" s="74" t="n">
        <f aca="false">ROUND($E26*Assumptions!$B$26,1)</f>
        <v>323.2</v>
      </c>
      <c r="G26" s="74" t="n">
        <f aca="false">ROUND($E26*Assumptions!$B$27,1)</f>
        <v>42.2</v>
      </c>
      <c r="H26" s="74" t="n">
        <f aca="false">ROUND($E26*Assumptions!$B$28,1)</f>
        <v>38.6</v>
      </c>
      <c r="I26" s="74" t="n">
        <f aca="false">ROUND($E26*Assumptions!$B$29,1)</f>
        <v>17.6</v>
      </c>
      <c r="J26" s="66" t="n">
        <f aca="false">'Receipts Build'!$H$26</f>
        <v>46297</v>
      </c>
      <c r="N26" s="58" t="s">
        <v>196</v>
      </c>
    </row>
    <row r="27" customFormat="false" ht="13.5" hidden="false" customHeight="true" outlineLevel="0" collapsed="false">
      <c r="A27" s="49" t="n">
        <v>11</v>
      </c>
      <c r="B27" s="13" t="s">
        <v>209</v>
      </c>
      <c r="C27" s="65"/>
      <c r="D27" s="66" t="n">
        <f aca="false">'Weekly Cash Flow'!L$5</f>
        <v>46300</v>
      </c>
      <c r="E27" s="83" t="n">
        <f aca="false">'Receipts Build'!$G$27</f>
        <v>702.7</v>
      </c>
      <c r="F27" s="74" t="n">
        <f aca="false">ROUND($E27*Assumptions!$B$26,1)</f>
        <v>323.2</v>
      </c>
      <c r="G27" s="74" t="n">
        <f aca="false">ROUND($E27*Assumptions!$B$27,1)</f>
        <v>42.2</v>
      </c>
      <c r="H27" s="74" t="n">
        <f aca="false">ROUND($E27*Assumptions!$B$28,1)</f>
        <v>38.6</v>
      </c>
      <c r="I27" s="74" t="n">
        <f aca="false">ROUND($E27*Assumptions!$B$29,1)</f>
        <v>17.6</v>
      </c>
      <c r="J27" s="66" t="n">
        <f aca="false">'Receipts Build'!$H$27</f>
        <v>46304</v>
      </c>
      <c r="N27" s="58" t="s">
        <v>196</v>
      </c>
    </row>
    <row r="28" customFormat="false" ht="13.5" hidden="false" customHeight="true" outlineLevel="0" collapsed="false">
      <c r="A28" s="49" t="n">
        <v>12</v>
      </c>
      <c r="B28" s="13" t="s">
        <v>210</v>
      </c>
      <c r="C28" s="65"/>
      <c r="D28" s="66" t="n">
        <f aca="false">'Weekly Cash Flow'!M$5</f>
        <v>46307</v>
      </c>
      <c r="E28" s="83" t="n">
        <f aca="false">'Receipts Build'!$G$28</f>
        <v>682.6</v>
      </c>
      <c r="F28" s="74" t="n">
        <f aca="false">ROUND($E28*Assumptions!$B$26,1)</f>
        <v>314</v>
      </c>
      <c r="G28" s="74" t="n">
        <f aca="false">ROUND($E28*Assumptions!$B$27,1)</f>
        <v>41</v>
      </c>
      <c r="H28" s="74" t="n">
        <f aca="false">ROUND($E28*Assumptions!$B$28,1)</f>
        <v>37.5</v>
      </c>
      <c r="I28" s="74" t="n">
        <f aca="false">ROUND($E28*Assumptions!$B$29,1)</f>
        <v>17.1</v>
      </c>
      <c r="J28" s="66" t="n">
        <f aca="false">'Receipts Build'!$H$28</f>
        <v>46311</v>
      </c>
      <c r="N28" s="58" t="s">
        <v>196</v>
      </c>
    </row>
    <row r="29" customFormat="false" ht="13.5" hidden="false" customHeight="true" outlineLevel="0" collapsed="false">
      <c r="A29" s="49" t="n">
        <v>13</v>
      </c>
      <c r="B29" s="13" t="s">
        <v>211</v>
      </c>
      <c r="C29" s="65"/>
      <c r="D29" s="66" t="n">
        <f aca="false">'Weekly Cash Flow'!N$5</f>
        <v>46314</v>
      </c>
      <c r="E29" s="83" t="n">
        <f aca="false">'Receipts Build'!$G$29</f>
        <v>669.2</v>
      </c>
      <c r="F29" s="74" t="n">
        <f aca="false">ROUND($E29*Assumptions!$B$26,1)</f>
        <v>307.8</v>
      </c>
      <c r="G29" s="74" t="n">
        <f aca="false">ROUND($E29*Assumptions!$B$27,1)</f>
        <v>40.2</v>
      </c>
      <c r="H29" s="74" t="n">
        <f aca="false">ROUND($E29*Assumptions!$B$28,1)</f>
        <v>36.8</v>
      </c>
      <c r="I29" s="74" t="n">
        <f aca="false">ROUND($E29*Assumptions!$B$29,1)</f>
        <v>16.7</v>
      </c>
      <c r="J29" s="66" t="n">
        <f aca="false">'Receipts Build'!$H$29</f>
        <v>46318</v>
      </c>
      <c r="N29" s="58" t="s">
        <v>196</v>
      </c>
    </row>
    <row r="30" customFormat="false" ht="19.4" hidden="false" customHeight="false" outlineLevel="0" collapsed="false">
      <c r="B30" s="59" t="s">
        <v>212</v>
      </c>
      <c r="C30" s="60"/>
      <c r="D30" s="60"/>
      <c r="E30" s="63" t="n">
        <f aca="false">SUM(E17:E29)</f>
        <v>7843.3</v>
      </c>
      <c r="F30" s="63" t="n">
        <f aca="false">SUM(F17:F29)</f>
        <v>3607.7</v>
      </c>
      <c r="G30" s="63" t="n">
        <f aca="false">SUM(G17:G29)</f>
        <v>470.9</v>
      </c>
      <c r="H30" s="63" t="n">
        <f aca="false">SUM(H17:H29)</f>
        <v>431.3</v>
      </c>
      <c r="I30" s="63" t="n">
        <f aca="false">SUM(I17:I29)</f>
        <v>196.1</v>
      </c>
      <c r="J30" s="60"/>
      <c r="N30" s="64" t="s">
        <v>367</v>
      </c>
    </row>
    <row r="32" customFormat="false" ht="16.5" hidden="false" customHeight="true" outlineLevel="0" collapsed="false">
      <c r="A32" s="10" t="s">
        <v>368</v>
      </c>
      <c r="B32" s="10"/>
      <c r="C32" s="10"/>
      <c r="D32" s="10"/>
      <c r="E32" s="10"/>
      <c r="F32" s="10"/>
      <c r="G32" s="10"/>
      <c r="H32" s="10"/>
      <c r="I32" s="10"/>
      <c r="J32" s="10"/>
      <c r="K32" s="10"/>
      <c r="L32" s="10"/>
      <c r="M32" s="10"/>
      <c r="N32" s="10"/>
    </row>
    <row r="33" customFormat="false" ht="27.75" hidden="false" customHeight="true" outlineLevel="0" collapsed="false">
      <c r="B33" s="12" t="s">
        <v>338</v>
      </c>
      <c r="C33" s="12" t="s">
        <v>156</v>
      </c>
      <c r="D33" s="12" t="s">
        <v>157</v>
      </c>
      <c r="E33" s="12" t="s">
        <v>215</v>
      </c>
      <c r="F33" s="12" t="s">
        <v>193</v>
      </c>
      <c r="G33" s="12" t="s">
        <v>216</v>
      </c>
      <c r="H33" s="12" t="s">
        <v>217</v>
      </c>
      <c r="I33" s="12" t="s">
        <v>218</v>
      </c>
      <c r="J33" s="12" t="s">
        <v>369</v>
      </c>
      <c r="K33" s="12" t="s">
        <v>370</v>
      </c>
      <c r="L33" s="12" t="s">
        <v>371</v>
      </c>
      <c r="M33" s="12" t="s">
        <v>372</v>
      </c>
      <c r="N33" s="12" t="s">
        <v>194</v>
      </c>
    </row>
    <row r="34" customFormat="false" ht="12.75" hidden="false" customHeight="true" outlineLevel="0" collapsed="false">
      <c r="A34" s="71"/>
      <c r="B34" s="70" t="s">
        <v>343</v>
      </c>
      <c r="C34" s="71" t="s">
        <v>173</v>
      </c>
      <c r="D34" s="72" t="s">
        <v>119</v>
      </c>
      <c r="E34" s="49" t="s">
        <v>373</v>
      </c>
      <c r="F34" s="73" t="n">
        <v>46185</v>
      </c>
      <c r="G34" s="74" t="n">
        <f aca="false">ROUND(Assumptions!$B$25*1*Assumptions!$B$26*$E$6*1,1)</f>
        <v>138.5</v>
      </c>
      <c r="H34" s="75" t="n">
        <f aca="false">$F$6</f>
        <v>45</v>
      </c>
      <c r="I34" s="68" t="n">
        <f aca="false">F34+H34</f>
        <v>46230</v>
      </c>
      <c r="J34" s="75" t="n">
        <f aca="false">IF(AND($H$6="Y",Assumptions!$B$10=1),Assumptions!$B$51,0)</f>
        <v>0</v>
      </c>
      <c r="K34" s="68" t="n">
        <f aca="false">I34+J34</f>
        <v>46230</v>
      </c>
      <c r="L34" s="77" t="n">
        <f aca="false">K34+IF(WEEKDAY(K34,2)&lt;=4,4-WEEKDAY(K34,2),11-WEEKDAY(K34,2))</f>
        <v>46233</v>
      </c>
      <c r="M34" s="67" t="n">
        <f aca="false">G34</f>
        <v>138.5</v>
      </c>
      <c r="N34" s="78" t="s">
        <v>374</v>
      </c>
    </row>
    <row r="35" customFormat="false" ht="12.75" hidden="false" customHeight="true" outlineLevel="0" collapsed="false">
      <c r="A35" s="71"/>
      <c r="B35" s="70" t="s">
        <v>343</v>
      </c>
      <c r="C35" s="71" t="s">
        <v>173</v>
      </c>
      <c r="D35" s="72" t="s">
        <v>119</v>
      </c>
      <c r="E35" s="49" t="s">
        <v>375</v>
      </c>
      <c r="F35" s="73" t="n">
        <v>46192</v>
      </c>
      <c r="G35" s="74" t="n">
        <f aca="false">ROUND(Assumptions!$B$25*1.02*Assumptions!$B$26*$E$6*1,1)</f>
        <v>141.3</v>
      </c>
      <c r="H35" s="75" t="n">
        <f aca="false">$F$6</f>
        <v>45</v>
      </c>
      <c r="I35" s="68" t="n">
        <f aca="false">F35+H35</f>
        <v>46237</v>
      </c>
      <c r="J35" s="75" t="n">
        <f aca="false">IF(AND($H$6="Y",Assumptions!$B$10=1),Assumptions!$B$51,0)</f>
        <v>0</v>
      </c>
      <c r="K35" s="68" t="n">
        <f aca="false">I35+J35</f>
        <v>46237</v>
      </c>
      <c r="L35" s="77" t="n">
        <f aca="false">K35+IF(WEEKDAY(K35,2)&lt;=4,4-WEEKDAY(K35,2),11-WEEKDAY(K35,2))</f>
        <v>46240</v>
      </c>
      <c r="M35" s="67" t="n">
        <f aca="false">G35</f>
        <v>141.3</v>
      </c>
      <c r="N35" s="78"/>
    </row>
    <row r="36" customFormat="false" ht="12.75" hidden="false" customHeight="true" outlineLevel="0" collapsed="false">
      <c r="A36" s="71"/>
      <c r="B36" s="70" t="s">
        <v>343</v>
      </c>
      <c r="C36" s="71" t="s">
        <v>173</v>
      </c>
      <c r="D36" s="72" t="s">
        <v>119</v>
      </c>
      <c r="E36" s="49" t="s">
        <v>376</v>
      </c>
      <c r="F36" s="73" t="n">
        <v>46199</v>
      </c>
      <c r="G36" s="74" t="n">
        <f aca="false">ROUND(Assumptions!$B$25*0.98*Assumptions!$B$26*$E$6*1,1)</f>
        <v>135.8</v>
      </c>
      <c r="H36" s="75" t="n">
        <f aca="false">$F$6</f>
        <v>45</v>
      </c>
      <c r="I36" s="68" t="n">
        <f aca="false">F36+H36</f>
        <v>46244</v>
      </c>
      <c r="J36" s="75" t="n">
        <f aca="false">IF(AND($H$6="Y",Assumptions!$B$10=1),Assumptions!$B$51,0)</f>
        <v>0</v>
      </c>
      <c r="K36" s="68" t="n">
        <f aca="false">I36+J36</f>
        <v>46244</v>
      </c>
      <c r="L36" s="77" t="n">
        <f aca="false">K36+IF(WEEKDAY(K36,2)&lt;=4,4-WEEKDAY(K36,2),11-WEEKDAY(K36,2))</f>
        <v>46247</v>
      </c>
      <c r="M36" s="67" t="n">
        <f aca="false">G36</f>
        <v>135.8</v>
      </c>
      <c r="N36" s="78"/>
    </row>
    <row r="37" customFormat="false" ht="12.75" hidden="false" customHeight="true" outlineLevel="0" collapsed="false">
      <c r="A37" s="71"/>
      <c r="B37" s="70" t="s">
        <v>343</v>
      </c>
      <c r="C37" s="71" t="s">
        <v>173</v>
      </c>
      <c r="D37" s="72" t="s">
        <v>119</v>
      </c>
      <c r="E37" s="49" t="s">
        <v>377</v>
      </c>
      <c r="F37" s="73" t="n">
        <v>46206</v>
      </c>
      <c r="G37" s="74" t="n">
        <f aca="false">ROUND(Assumptions!$B$25*1.04*Assumptions!$B$26*$E$6*1,1)</f>
        <v>144.1</v>
      </c>
      <c r="H37" s="75" t="n">
        <f aca="false">$F$6</f>
        <v>45</v>
      </c>
      <c r="I37" s="68" t="n">
        <f aca="false">F37+H37</f>
        <v>46251</v>
      </c>
      <c r="J37" s="75" t="n">
        <f aca="false">IF(AND($H$6="Y",Assumptions!$B$10=1),Assumptions!$B$51,0)</f>
        <v>0</v>
      </c>
      <c r="K37" s="68" t="n">
        <f aca="false">I37+J37</f>
        <v>46251</v>
      </c>
      <c r="L37" s="77" t="n">
        <f aca="false">K37+IF(WEEKDAY(K37,2)&lt;=4,4-WEEKDAY(K37,2),11-WEEKDAY(K37,2))</f>
        <v>46254</v>
      </c>
      <c r="M37" s="67" t="n">
        <f aca="false">G37</f>
        <v>144.1</v>
      </c>
      <c r="N37" s="78"/>
    </row>
    <row r="38" customFormat="false" ht="12.75" hidden="false" customHeight="true" outlineLevel="0" collapsed="false">
      <c r="A38" s="71"/>
      <c r="B38" s="70" t="s">
        <v>343</v>
      </c>
      <c r="C38" s="71" t="s">
        <v>173</v>
      </c>
      <c r="D38" s="72" t="s">
        <v>119</v>
      </c>
      <c r="E38" s="49" t="s">
        <v>378</v>
      </c>
      <c r="F38" s="73" t="n">
        <v>46213</v>
      </c>
      <c r="G38" s="74" t="n">
        <f aca="false">ROUND(Assumptions!$B$25*0.99*Assumptions!$B$26*$E$6*1,1)</f>
        <v>137.1</v>
      </c>
      <c r="H38" s="75" t="n">
        <f aca="false">$F$6</f>
        <v>45</v>
      </c>
      <c r="I38" s="68" t="n">
        <f aca="false">F38+H38</f>
        <v>46258</v>
      </c>
      <c r="J38" s="75" t="n">
        <f aca="false">IF(AND($H$6="Y",Assumptions!$B$10=1),Assumptions!$B$51,0)</f>
        <v>0</v>
      </c>
      <c r="K38" s="68" t="n">
        <f aca="false">I38+J38</f>
        <v>46258</v>
      </c>
      <c r="L38" s="77" t="n">
        <f aca="false">K38+IF(WEEKDAY(K38,2)&lt;=4,4-WEEKDAY(K38,2),11-WEEKDAY(K38,2))</f>
        <v>46261</v>
      </c>
      <c r="M38" s="67" t="n">
        <f aca="false">G38</f>
        <v>137.1</v>
      </c>
      <c r="N38" s="78"/>
    </row>
    <row r="39" customFormat="false" ht="12.75" hidden="false" customHeight="true" outlineLevel="0" collapsed="false">
      <c r="A39" s="71"/>
      <c r="B39" s="70" t="s">
        <v>343</v>
      </c>
      <c r="C39" s="71" t="s">
        <v>173</v>
      </c>
      <c r="D39" s="72" t="s">
        <v>119</v>
      </c>
      <c r="E39" s="49" t="s">
        <v>379</v>
      </c>
      <c r="F39" s="73" t="n">
        <v>46220</v>
      </c>
      <c r="G39" s="74" t="n">
        <f aca="false">ROUND(Assumptions!$B$25*1.01*Assumptions!$B$26*$E$6*1,1)</f>
        <v>139.9</v>
      </c>
      <c r="H39" s="75" t="n">
        <f aca="false">$F$6</f>
        <v>45</v>
      </c>
      <c r="I39" s="68" t="n">
        <f aca="false">F39+H39</f>
        <v>46265</v>
      </c>
      <c r="J39" s="75" t="n">
        <f aca="false">IF(AND($H$6="Y",Assumptions!$B$10=1),Assumptions!$B$51,0)</f>
        <v>0</v>
      </c>
      <c r="K39" s="68" t="n">
        <f aca="false">I39+J39</f>
        <v>46265</v>
      </c>
      <c r="L39" s="77" t="n">
        <f aca="false">K39+IF(WEEKDAY(K39,2)&lt;=4,4-WEEKDAY(K39,2),11-WEEKDAY(K39,2))</f>
        <v>46268</v>
      </c>
      <c r="M39" s="67" t="n">
        <f aca="false">G39</f>
        <v>139.9</v>
      </c>
      <c r="N39" s="78"/>
    </row>
    <row r="40" customFormat="false" ht="12.75" hidden="false" customHeight="true" outlineLevel="0" collapsed="false">
      <c r="A40" s="71"/>
      <c r="B40" s="70" t="s">
        <v>343</v>
      </c>
      <c r="C40" s="71" t="s">
        <v>173</v>
      </c>
      <c r="D40" s="72" t="s">
        <v>119</v>
      </c>
      <c r="E40" s="49" t="s">
        <v>380</v>
      </c>
      <c r="F40" s="73" t="n">
        <v>46227</v>
      </c>
      <c r="G40" s="74" t="n">
        <f aca="false">ROUND(Assumptions!$B$25*0.97*Assumptions!$B$26*$E$6*1,1)</f>
        <v>134.4</v>
      </c>
      <c r="H40" s="75" t="n">
        <f aca="false">$F$6</f>
        <v>45</v>
      </c>
      <c r="I40" s="68" t="n">
        <f aca="false">F40+H40</f>
        <v>46272</v>
      </c>
      <c r="J40" s="75" t="n">
        <f aca="false">IF(AND($H$6="Y",Assumptions!$B$10=1),Assumptions!$B$51,0)</f>
        <v>0</v>
      </c>
      <c r="K40" s="68" t="n">
        <f aca="false">I40+J40</f>
        <v>46272</v>
      </c>
      <c r="L40" s="77" t="n">
        <f aca="false">K40+IF(WEEKDAY(K40,2)&lt;=4,4-WEEKDAY(K40,2),11-WEEKDAY(K40,2))</f>
        <v>46275</v>
      </c>
      <c r="M40" s="67" t="n">
        <f aca="false">G40</f>
        <v>134.4</v>
      </c>
      <c r="N40" s="78"/>
    </row>
    <row r="41" customFormat="false" ht="12.75" hidden="false" customHeight="true" outlineLevel="0" collapsed="false">
      <c r="A41" s="71"/>
      <c r="B41" s="70" t="s">
        <v>345</v>
      </c>
      <c r="C41" s="71" t="s">
        <v>167</v>
      </c>
      <c r="D41" s="72" t="s">
        <v>119</v>
      </c>
      <c r="E41" s="49" t="s">
        <v>381</v>
      </c>
      <c r="F41" s="73" t="n">
        <v>46185</v>
      </c>
      <c r="G41" s="74" t="n">
        <f aca="false">ROUND(Assumptions!$B$25*1*Assumptions!$B$26*$E$7*1,1)</f>
        <v>107.7</v>
      </c>
      <c r="H41" s="75" t="n">
        <f aca="false">$F$7</f>
        <v>45</v>
      </c>
      <c r="I41" s="68" t="n">
        <f aca="false">F41+H41</f>
        <v>46230</v>
      </c>
      <c r="J41" s="75" t="n">
        <f aca="false">IF(AND($H$7="Y",Assumptions!$B$10=1),Assumptions!$B$51,0)</f>
        <v>0</v>
      </c>
      <c r="K41" s="68" t="n">
        <f aca="false">I41+J41</f>
        <v>46230</v>
      </c>
      <c r="L41" s="77" t="n">
        <f aca="false">K41+IF(WEEKDAY(K41,2)&lt;=4,4-WEEKDAY(K41,2),11-WEEKDAY(K41,2))</f>
        <v>46233</v>
      </c>
      <c r="M41" s="67" t="n">
        <f aca="false">G41</f>
        <v>107.7</v>
      </c>
      <c r="N41" s="78" t="s">
        <v>374</v>
      </c>
    </row>
    <row r="42" customFormat="false" ht="12.75" hidden="false" customHeight="true" outlineLevel="0" collapsed="false">
      <c r="A42" s="71"/>
      <c r="B42" s="70" t="s">
        <v>345</v>
      </c>
      <c r="C42" s="71" t="s">
        <v>167</v>
      </c>
      <c r="D42" s="72" t="s">
        <v>119</v>
      </c>
      <c r="E42" s="49" t="s">
        <v>382</v>
      </c>
      <c r="F42" s="73" t="n">
        <v>46192</v>
      </c>
      <c r="G42" s="74" t="n">
        <f aca="false">ROUND(Assumptions!$B$25*1.02*Assumptions!$B$26*$E$7*1,1)</f>
        <v>109.9</v>
      </c>
      <c r="H42" s="75" t="n">
        <f aca="false">$F$7</f>
        <v>45</v>
      </c>
      <c r="I42" s="68" t="n">
        <f aca="false">F42+H42</f>
        <v>46237</v>
      </c>
      <c r="J42" s="75" t="n">
        <f aca="false">IF(AND($H$7="Y",Assumptions!$B$10=1),Assumptions!$B$51,0)</f>
        <v>0</v>
      </c>
      <c r="K42" s="68" t="n">
        <f aca="false">I42+J42</f>
        <v>46237</v>
      </c>
      <c r="L42" s="77" t="n">
        <f aca="false">K42+IF(WEEKDAY(K42,2)&lt;=4,4-WEEKDAY(K42,2),11-WEEKDAY(K42,2))</f>
        <v>46240</v>
      </c>
      <c r="M42" s="67" t="n">
        <f aca="false">G42</f>
        <v>109.9</v>
      </c>
      <c r="N42" s="78"/>
    </row>
    <row r="43" customFormat="false" ht="12.75" hidden="false" customHeight="true" outlineLevel="0" collapsed="false">
      <c r="A43" s="71"/>
      <c r="B43" s="70" t="s">
        <v>345</v>
      </c>
      <c r="C43" s="71" t="s">
        <v>167</v>
      </c>
      <c r="D43" s="72" t="s">
        <v>119</v>
      </c>
      <c r="E43" s="49" t="s">
        <v>383</v>
      </c>
      <c r="F43" s="73" t="n">
        <v>46199</v>
      </c>
      <c r="G43" s="74" t="n">
        <f aca="false">ROUND(Assumptions!$B$25*0.98*Assumptions!$B$26*$E$7*1,1)</f>
        <v>105.6</v>
      </c>
      <c r="H43" s="75" t="n">
        <f aca="false">$F$7</f>
        <v>45</v>
      </c>
      <c r="I43" s="68" t="n">
        <f aca="false">F43+H43</f>
        <v>46244</v>
      </c>
      <c r="J43" s="75" t="n">
        <f aca="false">IF(AND($H$7="Y",Assumptions!$B$10=1),Assumptions!$B$51,0)</f>
        <v>0</v>
      </c>
      <c r="K43" s="68" t="n">
        <f aca="false">I43+J43</f>
        <v>46244</v>
      </c>
      <c r="L43" s="77" t="n">
        <f aca="false">K43+IF(WEEKDAY(K43,2)&lt;=4,4-WEEKDAY(K43,2),11-WEEKDAY(K43,2))</f>
        <v>46247</v>
      </c>
      <c r="M43" s="67" t="n">
        <f aca="false">G43</f>
        <v>105.6</v>
      </c>
      <c r="N43" s="78"/>
    </row>
    <row r="44" customFormat="false" ht="12.75" hidden="false" customHeight="true" outlineLevel="0" collapsed="false">
      <c r="A44" s="71"/>
      <c r="B44" s="70" t="s">
        <v>345</v>
      </c>
      <c r="C44" s="71" t="s">
        <v>167</v>
      </c>
      <c r="D44" s="72" t="s">
        <v>119</v>
      </c>
      <c r="E44" s="49" t="s">
        <v>384</v>
      </c>
      <c r="F44" s="73" t="n">
        <v>46206</v>
      </c>
      <c r="G44" s="74" t="n">
        <f aca="false">ROUND(Assumptions!$B$25*1.04*Assumptions!$B$26*$E$7*1,1)</f>
        <v>112.1</v>
      </c>
      <c r="H44" s="75" t="n">
        <f aca="false">$F$7</f>
        <v>45</v>
      </c>
      <c r="I44" s="68" t="n">
        <f aca="false">F44+H44</f>
        <v>46251</v>
      </c>
      <c r="J44" s="75" t="n">
        <f aca="false">IF(AND($H$7="Y",Assumptions!$B$10=1),Assumptions!$B$51,0)</f>
        <v>0</v>
      </c>
      <c r="K44" s="68" t="n">
        <f aca="false">I44+J44</f>
        <v>46251</v>
      </c>
      <c r="L44" s="77" t="n">
        <f aca="false">K44+IF(WEEKDAY(K44,2)&lt;=4,4-WEEKDAY(K44,2),11-WEEKDAY(K44,2))</f>
        <v>46254</v>
      </c>
      <c r="M44" s="67" t="n">
        <f aca="false">G44</f>
        <v>112.1</v>
      </c>
      <c r="N44" s="78"/>
    </row>
    <row r="45" customFormat="false" ht="12.75" hidden="false" customHeight="true" outlineLevel="0" collapsed="false">
      <c r="A45" s="71"/>
      <c r="B45" s="70" t="s">
        <v>345</v>
      </c>
      <c r="C45" s="71" t="s">
        <v>167</v>
      </c>
      <c r="D45" s="72" t="s">
        <v>119</v>
      </c>
      <c r="E45" s="49" t="s">
        <v>385</v>
      </c>
      <c r="F45" s="73" t="n">
        <v>46213</v>
      </c>
      <c r="G45" s="74" t="n">
        <f aca="false">ROUND(Assumptions!$B$25*0.99*Assumptions!$B$26*$E$7*1,1)</f>
        <v>106.7</v>
      </c>
      <c r="H45" s="75" t="n">
        <f aca="false">$F$7</f>
        <v>45</v>
      </c>
      <c r="I45" s="68" t="n">
        <f aca="false">F45+H45</f>
        <v>46258</v>
      </c>
      <c r="J45" s="75" t="n">
        <f aca="false">IF(AND($H$7="Y",Assumptions!$B$10=1),Assumptions!$B$51,0)</f>
        <v>0</v>
      </c>
      <c r="K45" s="68" t="n">
        <f aca="false">I45+J45</f>
        <v>46258</v>
      </c>
      <c r="L45" s="77" t="n">
        <f aca="false">K45+IF(WEEKDAY(K45,2)&lt;=4,4-WEEKDAY(K45,2),11-WEEKDAY(K45,2))</f>
        <v>46261</v>
      </c>
      <c r="M45" s="67" t="n">
        <f aca="false">G45</f>
        <v>106.7</v>
      </c>
      <c r="N45" s="78"/>
    </row>
    <row r="46" customFormat="false" ht="12.75" hidden="false" customHeight="true" outlineLevel="0" collapsed="false">
      <c r="A46" s="71"/>
      <c r="B46" s="70" t="s">
        <v>345</v>
      </c>
      <c r="C46" s="71" t="s">
        <v>167</v>
      </c>
      <c r="D46" s="72" t="s">
        <v>119</v>
      </c>
      <c r="E46" s="49" t="s">
        <v>386</v>
      </c>
      <c r="F46" s="73" t="n">
        <v>46220</v>
      </c>
      <c r="G46" s="74" t="n">
        <f aca="false">ROUND(Assumptions!$B$25*1.01*Assumptions!$B$26*$E$7*1,1)</f>
        <v>108.8</v>
      </c>
      <c r="H46" s="75" t="n">
        <f aca="false">$F$7</f>
        <v>45</v>
      </c>
      <c r="I46" s="68" t="n">
        <f aca="false">F46+H46</f>
        <v>46265</v>
      </c>
      <c r="J46" s="75" t="n">
        <f aca="false">IF(AND($H$7="Y",Assumptions!$B$10=1),Assumptions!$B$51,0)</f>
        <v>0</v>
      </c>
      <c r="K46" s="68" t="n">
        <f aca="false">I46+J46</f>
        <v>46265</v>
      </c>
      <c r="L46" s="77" t="n">
        <f aca="false">K46+IF(WEEKDAY(K46,2)&lt;=4,4-WEEKDAY(K46,2),11-WEEKDAY(K46,2))</f>
        <v>46268</v>
      </c>
      <c r="M46" s="67" t="n">
        <f aca="false">G46</f>
        <v>108.8</v>
      </c>
      <c r="N46" s="78"/>
    </row>
    <row r="47" customFormat="false" ht="12.75" hidden="false" customHeight="true" outlineLevel="0" collapsed="false">
      <c r="A47" s="71"/>
      <c r="B47" s="70" t="s">
        <v>345</v>
      </c>
      <c r="C47" s="71" t="s">
        <v>167</v>
      </c>
      <c r="D47" s="72" t="s">
        <v>119</v>
      </c>
      <c r="E47" s="49" t="s">
        <v>387</v>
      </c>
      <c r="F47" s="73" t="n">
        <v>46227</v>
      </c>
      <c r="G47" s="74" t="n">
        <f aca="false">ROUND(Assumptions!$B$25*0.97*Assumptions!$B$26*$E$7*1,1)</f>
        <v>104.5</v>
      </c>
      <c r="H47" s="75" t="n">
        <f aca="false">$F$7</f>
        <v>45</v>
      </c>
      <c r="I47" s="68" t="n">
        <f aca="false">F47+H47</f>
        <v>46272</v>
      </c>
      <c r="J47" s="75" t="n">
        <f aca="false">IF(AND($H$7="Y",Assumptions!$B$10=1),Assumptions!$B$51,0)</f>
        <v>0</v>
      </c>
      <c r="K47" s="68" t="n">
        <f aca="false">I47+J47</f>
        <v>46272</v>
      </c>
      <c r="L47" s="77" t="n">
        <f aca="false">K47+IF(WEEKDAY(K47,2)&lt;=4,4-WEEKDAY(K47,2),11-WEEKDAY(K47,2))</f>
        <v>46275</v>
      </c>
      <c r="M47" s="67" t="n">
        <f aca="false">G47</f>
        <v>104.5</v>
      </c>
      <c r="N47" s="78"/>
    </row>
    <row r="48" customFormat="false" ht="12.75" hidden="false" customHeight="true" outlineLevel="0" collapsed="false">
      <c r="A48" s="71"/>
      <c r="B48" s="70" t="s">
        <v>347</v>
      </c>
      <c r="C48" s="71" t="s">
        <v>348</v>
      </c>
      <c r="D48" s="72" t="s">
        <v>119</v>
      </c>
      <c r="E48" s="49" t="s">
        <v>388</v>
      </c>
      <c r="F48" s="73" t="n">
        <v>46164</v>
      </c>
      <c r="G48" s="74" t="n">
        <f aca="false">ROUND(Assumptions!$B$25*1*Assumptions!$B$26*$E$8*1,1)</f>
        <v>61.6</v>
      </c>
      <c r="H48" s="75" t="n">
        <f aca="false">$F$8</f>
        <v>60</v>
      </c>
      <c r="I48" s="68" t="n">
        <f aca="false">F48+H48</f>
        <v>46224</v>
      </c>
      <c r="J48" s="75" t="n">
        <f aca="false">IF(AND($H$8="Y",Assumptions!$B$10=1),Assumptions!$B$51,0)</f>
        <v>0</v>
      </c>
      <c r="K48" s="68" t="n">
        <f aca="false">I48+J48</f>
        <v>46224</v>
      </c>
      <c r="L48" s="77" t="n">
        <f aca="false">K48+IF(WEEKDAY(K48,2)&lt;=4,4-WEEKDAY(K48,2),11-WEEKDAY(K48,2))</f>
        <v>46226</v>
      </c>
      <c r="M48" s="67" t="n">
        <f aca="false">G48</f>
        <v>61.6</v>
      </c>
      <c r="N48" s="78" t="s">
        <v>374</v>
      </c>
    </row>
    <row r="49" customFormat="false" ht="12.75" hidden="false" customHeight="true" outlineLevel="0" collapsed="false">
      <c r="A49" s="71"/>
      <c r="B49" s="70" t="s">
        <v>347</v>
      </c>
      <c r="C49" s="71" t="s">
        <v>348</v>
      </c>
      <c r="D49" s="72" t="s">
        <v>119</v>
      </c>
      <c r="E49" s="49" t="s">
        <v>389</v>
      </c>
      <c r="F49" s="73" t="n">
        <v>46171</v>
      </c>
      <c r="G49" s="74" t="n">
        <f aca="false">ROUND(Assumptions!$B$25*1.02*Assumptions!$B$26*$E$8*1,1)</f>
        <v>62.8</v>
      </c>
      <c r="H49" s="75" t="n">
        <f aca="false">$F$8</f>
        <v>60</v>
      </c>
      <c r="I49" s="68" t="n">
        <f aca="false">F49+H49</f>
        <v>46231</v>
      </c>
      <c r="J49" s="75" t="n">
        <f aca="false">IF(AND($H$8="Y",Assumptions!$B$10=1),Assumptions!$B$51,0)</f>
        <v>0</v>
      </c>
      <c r="K49" s="68" t="n">
        <f aca="false">I49+J49</f>
        <v>46231</v>
      </c>
      <c r="L49" s="77" t="n">
        <f aca="false">K49+IF(WEEKDAY(K49,2)&lt;=4,4-WEEKDAY(K49,2),11-WEEKDAY(K49,2))</f>
        <v>46233</v>
      </c>
      <c r="M49" s="67" t="n">
        <f aca="false">G49</f>
        <v>62.8</v>
      </c>
      <c r="N49" s="78"/>
    </row>
    <row r="50" customFormat="false" ht="12.75" hidden="false" customHeight="true" outlineLevel="0" collapsed="false">
      <c r="A50" s="71"/>
      <c r="B50" s="70" t="s">
        <v>347</v>
      </c>
      <c r="C50" s="71" t="s">
        <v>348</v>
      </c>
      <c r="D50" s="72" t="s">
        <v>119</v>
      </c>
      <c r="E50" s="49" t="s">
        <v>390</v>
      </c>
      <c r="F50" s="73" t="n">
        <v>46178</v>
      </c>
      <c r="G50" s="74" t="n">
        <f aca="false">ROUND(Assumptions!$B$25*0.98*Assumptions!$B$26*$E$8*1,1)</f>
        <v>60.3</v>
      </c>
      <c r="H50" s="75" t="n">
        <f aca="false">$F$8</f>
        <v>60</v>
      </c>
      <c r="I50" s="68" t="n">
        <f aca="false">F50+H50</f>
        <v>46238</v>
      </c>
      <c r="J50" s="75" t="n">
        <f aca="false">IF(AND($H$8="Y",Assumptions!$B$10=1),Assumptions!$B$51,0)</f>
        <v>0</v>
      </c>
      <c r="K50" s="68" t="n">
        <f aca="false">I50+J50</f>
        <v>46238</v>
      </c>
      <c r="L50" s="77" t="n">
        <f aca="false">K50+IF(WEEKDAY(K50,2)&lt;=4,4-WEEKDAY(K50,2),11-WEEKDAY(K50,2))</f>
        <v>46240</v>
      </c>
      <c r="M50" s="67" t="n">
        <f aca="false">G50</f>
        <v>60.3</v>
      </c>
      <c r="N50" s="78"/>
    </row>
    <row r="51" customFormat="false" ht="12.75" hidden="false" customHeight="true" outlineLevel="0" collapsed="false">
      <c r="A51" s="71"/>
      <c r="B51" s="70" t="s">
        <v>347</v>
      </c>
      <c r="C51" s="71" t="s">
        <v>348</v>
      </c>
      <c r="D51" s="72" t="s">
        <v>119</v>
      </c>
      <c r="E51" s="49" t="s">
        <v>391</v>
      </c>
      <c r="F51" s="73" t="n">
        <v>46185</v>
      </c>
      <c r="G51" s="74" t="n">
        <f aca="false">ROUND(Assumptions!$B$25*1.04*Assumptions!$B$26*$E$8*1,1)</f>
        <v>64</v>
      </c>
      <c r="H51" s="75" t="n">
        <f aca="false">$F$8</f>
        <v>60</v>
      </c>
      <c r="I51" s="68" t="n">
        <f aca="false">F51+H51</f>
        <v>46245</v>
      </c>
      <c r="J51" s="75" t="n">
        <f aca="false">IF(AND($H$8="Y",Assumptions!$B$10=1),Assumptions!$B$51,0)</f>
        <v>0</v>
      </c>
      <c r="K51" s="68" t="n">
        <f aca="false">I51+J51</f>
        <v>46245</v>
      </c>
      <c r="L51" s="77" t="n">
        <f aca="false">K51+IF(WEEKDAY(K51,2)&lt;=4,4-WEEKDAY(K51,2),11-WEEKDAY(K51,2))</f>
        <v>46247</v>
      </c>
      <c r="M51" s="67" t="n">
        <f aca="false">G51</f>
        <v>64</v>
      </c>
      <c r="N51" s="78"/>
    </row>
    <row r="52" customFormat="false" ht="12.75" hidden="false" customHeight="true" outlineLevel="0" collapsed="false">
      <c r="A52" s="71"/>
      <c r="B52" s="70" t="s">
        <v>347</v>
      </c>
      <c r="C52" s="71" t="s">
        <v>348</v>
      </c>
      <c r="D52" s="72" t="s">
        <v>119</v>
      </c>
      <c r="E52" s="49" t="s">
        <v>392</v>
      </c>
      <c r="F52" s="73" t="n">
        <v>46192</v>
      </c>
      <c r="G52" s="74" t="n">
        <f aca="false">ROUND(Assumptions!$B$25*0.99*Assumptions!$B$26*$E$8*1,1)</f>
        <v>61</v>
      </c>
      <c r="H52" s="75" t="n">
        <f aca="false">$F$8</f>
        <v>60</v>
      </c>
      <c r="I52" s="68" t="n">
        <f aca="false">F52+H52</f>
        <v>46252</v>
      </c>
      <c r="J52" s="75" t="n">
        <f aca="false">IF(AND($H$8="Y",Assumptions!$B$10=1),Assumptions!$B$51,0)</f>
        <v>0</v>
      </c>
      <c r="K52" s="68" t="n">
        <f aca="false">I52+J52</f>
        <v>46252</v>
      </c>
      <c r="L52" s="77" t="n">
        <f aca="false">K52+IF(WEEKDAY(K52,2)&lt;=4,4-WEEKDAY(K52,2),11-WEEKDAY(K52,2))</f>
        <v>46254</v>
      </c>
      <c r="M52" s="67" t="n">
        <f aca="false">G52</f>
        <v>61</v>
      </c>
      <c r="N52" s="78"/>
    </row>
    <row r="53" customFormat="false" ht="12.75" hidden="false" customHeight="true" outlineLevel="0" collapsed="false">
      <c r="A53" s="71"/>
      <c r="B53" s="70" t="s">
        <v>347</v>
      </c>
      <c r="C53" s="71" t="s">
        <v>348</v>
      </c>
      <c r="D53" s="72" t="s">
        <v>119</v>
      </c>
      <c r="E53" s="49" t="s">
        <v>393</v>
      </c>
      <c r="F53" s="73" t="n">
        <v>46199</v>
      </c>
      <c r="G53" s="74" t="n">
        <f aca="false">ROUND(Assumptions!$B$25*1.01*Assumptions!$B$26*$E$8*1,1)</f>
        <v>62.2</v>
      </c>
      <c r="H53" s="75" t="n">
        <f aca="false">$F$8</f>
        <v>60</v>
      </c>
      <c r="I53" s="68" t="n">
        <f aca="false">F53+H53</f>
        <v>46259</v>
      </c>
      <c r="J53" s="75" t="n">
        <f aca="false">IF(AND($H$8="Y",Assumptions!$B$10=1),Assumptions!$B$51,0)</f>
        <v>0</v>
      </c>
      <c r="K53" s="68" t="n">
        <f aca="false">I53+J53</f>
        <v>46259</v>
      </c>
      <c r="L53" s="77" t="n">
        <f aca="false">K53+IF(WEEKDAY(K53,2)&lt;=4,4-WEEKDAY(K53,2),11-WEEKDAY(K53,2))</f>
        <v>46261</v>
      </c>
      <c r="M53" s="67" t="n">
        <f aca="false">G53</f>
        <v>62.2</v>
      </c>
      <c r="N53" s="78"/>
    </row>
    <row r="54" customFormat="false" ht="12.75" hidden="false" customHeight="true" outlineLevel="0" collapsed="false">
      <c r="A54" s="71"/>
      <c r="B54" s="70" t="s">
        <v>347</v>
      </c>
      <c r="C54" s="71" t="s">
        <v>348</v>
      </c>
      <c r="D54" s="72" t="s">
        <v>119</v>
      </c>
      <c r="E54" s="49" t="s">
        <v>394</v>
      </c>
      <c r="F54" s="73" t="n">
        <v>46206</v>
      </c>
      <c r="G54" s="74" t="n">
        <f aca="false">ROUND(Assumptions!$B$25*0.97*Assumptions!$B$26*$E$8*1,1)</f>
        <v>59.7</v>
      </c>
      <c r="H54" s="75" t="n">
        <f aca="false">$F$8</f>
        <v>60</v>
      </c>
      <c r="I54" s="68" t="n">
        <f aca="false">F54+H54</f>
        <v>46266</v>
      </c>
      <c r="J54" s="75" t="n">
        <f aca="false">IF(AND($H$8="Y",Assumptions!$B$10=1),Assumptions!$B$51,0)</f>
        <v>0</v>
      </c>
      <c r="K54" s="68" t="n">
        <f aca="false">I54+J54</f>
        <v>46266</v>
      </c>
      <c r="L54" s="77" t="n">
        <f aca="false">K54+IF(WEEKDAY(K54,2)&lt;=4,4-WEEKDAY(K54,2),11-WEEKDAY(K54,2))</f>
        <v>46268</v>
      </c>
      <c r="M54" s="67" t="n">
        <f aca="false">G54</f>
        <v>59.7</v>
      </c>
      <c r="N54" s="78"/>
    </row>
    <row r="55" customFormat="false" ht="12.75" hidden="false" customHeight="true" outlineLevel="0" collapsed="false">
      <c r="A55" s="71"/>
      <c r="B55" s="70" t="s">
        <v>347</v>
      </c>
      <c r="C55" s="71" t="s">
        <v>348</v>
      </c>
      <c r="D55" s="72" t="s">
        <v>119</v>
      </c>
      <c r="E55" s="49" t="s">
        <v>395</v>
      </c>
      <c r="F55" s="73" t="n">
        <v>46213</v>
      </c>
      <c r="G55" s="74" t="n">
        <f aca="false">ROUND(Assumptions!$B$25*1.03*Assumptions!$B$26*$E$8*1,1)</f>
        <v>63.4</v>
      </c>
      <c r="H55" s="75" t="n">
        <f aca="false">$F$8</f>
        <v>60</v>
      </c>
      <c r="I55" s="68" t="n">
        <f aca="false">F55+H55</f>
        <v>46273</v>
      </c>
      <c r="J55" s="75" t="n">
        <f aca="false">IF(AND($H$8="Y",Assumptions!$B$10=1),Assumptions!$B$51,0)</f>
        <v>0</v>
      </c>
      <c r="K55" s="68" t="n">
        <f aca="false">I55+J55</f>
        <v>46273</v>
      </c>
      <c r="L55" s="77" t="n">
        <f aca="false">K55+IF(WEEKDAY(K55,2)&lt;=4,4-WEEKDAY(K55,2),11-WEEKDAY(K55,2))</f>
        <v>46275</v>
      </c>
      <c r="M55" s="67" t="n">
        <f aca="false">G55</f>
        <v>63.4</v>
      </c>
      <c r="N55" s="78"/>
    </row>
    <row r="56" customFormat="false" ht="12.75" hidden="false" customHeight="true" outlineLevel="0" collapsed="false">
      <c r="A56" s="71"/>
      <c r="B56" s="70" t="s">
        <v>347</v>
      </c>
      <c r="C56" s="71" t="s">
        <v>348</v>
      </c>
      <c r="D56" s="72" t="s">
        <v>119</v>
      </c>
      <c r="E56" s="49" t="s">
        <v>396</v>
      </c>
      <c r="F56" s="73" t="n">
        <v>46220</v>
      </c>
      <c r="G56" s="74" t="n">
        <f aca="false">ROUND(Assumptions!$B$25*1*Assumptions!$B$26*$E$8*1,1)</f>
        <v>61.6</v>
      </c>
      <c r="H56" s="75" t="n">
        <f aca="false">$F$8</f>
        <v>60</v>
      </c>
      <c r="I56" s="68" t="n">
        <f aca="false">F56+H56</f>
        <v>46280</v>
      </c>
      <c r="J56" s="75" t="n">
        <f aca="false">IF(AND($H$8="Y",Assumptions!$B$10=1),Assumptions!$B$51,0)</f>
        <v>0</v>
      </c>
      <c r="K56" s="68" t="n">
        <f aca="false">I56+J56</f>
        <v>46280</v>
      </c>
      <c r="L56" s="77" t="n">
        <f aca="false">K56+IF(WEEKDAY(K56,2)&lt;=4,4-WEEKDAY(K56,2),11-WEEKDAY(K56,2))</f>
        <v>46282</v>
      </c>
      <c r="M56" s="67" t="n">
        <f aca="false">G56</f>
        <v>61.6</v>
      </c>
      <c r="N56" s="78"/>
    </row>
    <row r="57" customFormat="false" ht="12.75" hidden="false" customHeight="true" outlineLevel="0" collapsed="false">
      <c r="A57" s="71"/>
      <c r="B57" s="70" t="s">
        <v>347</v>
      </c>
      <c r="C57" s="71" t="s">
        <v>348</v>
      </c>
      <c r="D57" s="72" t="s">
        <v>119</v>
      </c>
      <c r="E57" s="49" t="s">
        <v>397</v>
      </c>
      <c r="F57" s="73" t="n">
        <v>46227</v>
      </c>
      <c r="G57" s="74" t="n">
        <f aca="false">ROUND(Assumptions!$B$25*1*Assumptions!$B$26*$E$8*1,1)</f>
        <v>61.6</v>
      </c>
      <c r="H57" s="75" t="n">
        <f aca="false">$F$8</f>
        <v>60</v>
      </c>
      <c r="I57" s="68" t="n">
        <f aca="false">F57+H57</f>
        <v>46287</v>
      </c>
      <c r="J57" s="75" t="n">
        <f aca="false">IF(AND($H$8="Y",Assumptions!$B$10=1),Assumptions!$B$51,0)</f>
        <v>0</v>
      </c>
      <c r="K57" s="68" t="n">
        <f aca="false">I57+J57</f>
        <v>46287</v>
      </c>
      <c r="L57" s="77" t="n">
        <f aca="false">K57+IF(WEEKDAY(K57,2)&lt;=4,4-WEEKDAY(K57,2),11-WEEKDAY(K57,2))</f>
        <v>46289</v>
      </c>
      <c r="M57" s="67" t="n">
        <f aca="false">G57</f>
        <v>61.6</v>
      </c>
      <c r="N57" s="78"/>
    </row>
    <row r="58" customFormat="false" ht="12.75" hidden="false" customHeight="true" outlineLevel="0" collapsed="false">
      <c r="A58" s="71"/>
      <c r="B58" s="70" t="s">
        <v>350</v>
      </c>
      <c r="C58" s="71" t="s">
        <v>173</v>
      </c>
      <c r="D58" s="72" t="s">
        <v>120</v>
      </c>
      <c r="E58" s="49" t="s">
        <v>398</v>
      </c>
      <c r="F58" s="73" t="n">
        <v>46199</v>
      </c>
      <c r="G58" s="74" t="n">
        <f aca="false">ROUND(Assumptions!$B$25*1*Assumptions!$B$27*$E$9*2,1)</f>
        <v>49.8</v>
      </c>
      <c r="H58" s="75" t="n">
        <f aca="false">$F$9</f>
        <v>30</v>
      </c>
      <c r="I58" s="68" t="n">
        <f aca="false">F58+H58</f>
        <v>46229</v>
      </c>
      <c r="J58" s="75" t="n">
        <f aca="false">IF(AND($H$9="Y",Assumptions!$B$10=1),Assumptions!$B$51,0)</f>
        <v>0</v>
      </c>
      <c r="K58" s="68" t="n">
        <f aca="false">I58+J58</f>
        <v>46229</v>
      </c>
      <c r="L58" s="77" t="n">
        <f aca="false">K58+IF(WEEKDAY(K58,2)&lt;=4,4-WEEKDAY(K58,2),11-WEEKDAY(K58,2))</f>
        <v>46233</v>
      </c>
      <c r="M58" s="67" t="n">
        <f aca="false">G58</f>
        <v>49.8</v>
      </c>
      <c r="N58" s="78" t="s">
        <v>374</v>
      </c>
    </row>
    <row r="59" customFormat="false" ht="12.75" hidden="false" customHeight="true" outlineLevel="0" collapsed="false">
      <c r="A59" s="71"/>
      <c r="B59" s="70" t="s">
        <v>350</v>
      </c>
      <c r="C59" s="71" t="s">
        <v>173</v>
      </c>
      <c r="D59" s="72" t="s">
        <v>120</v>
      </c>
      <c r="E59" s="49" t="s">
        <v>399</v>
      </c>
      <c r="F59" s="73" t="n">
        <v>46213</v>
      </c>
      <c r="G59" s="74" t="n">
        <f aca="false">ROUND(Assumptions!$B$25*1.02*Assumptions!$B$27*$E$9*2,1)</f>
        <v>50.8</v>
      </c>
      <c r="H59" s="75" t="n">
        <f aca="false">$F$9</f>
        <v>30</v>
      </c>
      <c r="I59" s="68" t="n">
        <f aca="false">F59+H59</f>
        <v>46243</v>
      </c>
      <c r="J59" s="75" t="n">
        <f aca="false">IF(AND($H$9="Y",Assumptions!$B$10=1),Assumptions!$B$51,0)</f>
        <v>0</v>
      </c>
      <c r="K59" s="68" t="n">
        <f aca="false">I59+J59</f>
        <v>46243</v>
      </c>
      <c r="L59" s="77" t="n">
        <f aca="false">K59+IF(WEEKDAY(K59,2)&lt;=4,4-WEEKDAY(K59,2),11-WEEKDAY(K59,2))</f>
        <v>46247</v>
      </c>
      <c r="M59" s="67" t="n">
        <f aca="false">G59</f>
        <v>50.8</v>
      </c>
      <c r="N59" s="78"/>
    </row>
    <row r="60" customFormat="false" ht="12.75" hidden="false" customHeight="true" outlineLevel="0" collapsed="false">
      <c r="A60" s="71"/>
      <c r="B60" s="70" t="s">
        <v>350</v>
      </c>
      <c r="C60" s="71" t="s">
        <v>173</v>
      </c>
      <c r="D60" s="72" t="s">
        <v>120</v>
      </c>
      <c r="E60" s="49" t="s">
        <v>400</v>
      </c>
      <c r="F60" s="73" t="n">
        <v>46227</v>
      </c>
      <c r="G60" s="74" t="n">
        <f aca="false">ROUND(Assumptions!$B$25*0.98*Assumptions!$B$27*$E$9*2,1)</f>
        <v>48.8</v>
      </c>
      <c r="H60" s="75" t="n">
        <f aca="false">$F$9</f>
        <v>30</v>
      </c>
      <c r="I60" s="68" t="n">
        <f aca="false">F60+H60</f>
        <v>46257</v>
      </c>
      <c r="J60" s="75" t="n">
        <f aca="false">IF(AND($H$9="Y",Assumptions!$B$10=1),Assumptions!$B$51,0)</f>
        <v>0</v>
      </c>
      <c r="K60" s="68" t="n">
        <f aca="false">I60+J60</f>
        <v>46257</v>
      </c>
      <c r="L60" s="77" t="n">
        <f aca="false">K60+IF(WEEKDAY(K60,2)&lt;=4,4-WEEKDAY(K60,2),11-WEEKDAY(K60,2))</f>
        <v>46261</v>
      </c>
      <c r="M60" s="67" t="n">
        <f aca="false">G60</f>
        <v>48.8</v>
      </c>
      <c r="N60" s="78"/>
    </row>
    <row r="61" customFormat="false" ht="12.75" hidden="false" customHeight="true" outlineLevel="0" collapsed="false">
      <c r="A61" s="71"/>
      <c r="B61" s="70" t="s">
        <v>353</v>
      </c>
      <c r="C61" s="71" t="s">
        <v>173</v>
      </c>
      <c r="D61" s="72" t="s">
        <v>120</v>
      </c>
      <c r="E61" s="49" t="s">
        <v>401</v>
      </c>
      <c r="F61" s="73" t="n">
        <v>46199</v>
      </c>
      <c r="G61" s="74" t="n">
        <f aca="false">ROUND(Assumptions!$B$25*1*Assumptions!$B$27*$E$10*2,1)</f>
        <v>30.5</v>
      </c>
      <c r="H61" s="75" t="n">
        <f aca="false">$F$10</f>
        <v>30</v>
      </c>
      <c r="I61" s="68" t="n">
        <f aca="false">F61+H61</f>
        <v>46229</v>
      </c>
      <c r="J61" s="75" t="n">
        <f aca="false">IF(AND($H$10="Y",Assumptions!$B$10=1),Assumptions!$B$51,0)</f>
        <v>0</v>
      </c>
      <c r="K61" s="68" t="n">
        <f aca="false">I61+J61</f>
        <v>46229</v>
      </c>
      <c r="L61" s="77" t="n">
        <f aca="false">K61+IF(WEEKDAY(K61,2)&lt;=4,4-WEEKDAY(K61,2),11-WEEKDAY(K61,2))</f>
        <v>46233</v>
      </c>
      <c r="M61" s="67" t="n">
        <f aca="false">G61</f>
        <v>30.5</v>
      </c>
      <c r="N61" s="78" t="s">
        <v>374</v>
      </c>
    </row>
    <row r="62" customFormat="false" ht="12.75" hidden="false" customHeight="true" outlineLevel="0" collapsed="false">
      <c r="A62" s="71"/>
      <c r="B62" s="70" t="s">
        <v>353</v>
      </c>
      <c r="C62" s="71" t="s">
        <v>173</v>
      </c>
      <c r="D62" s="72" t="s">
        <v>120</v>
      </c>
      <c r="E62" s="49" t="s">
        <v>402</v>
      </c>
      <c r="F62" s="73" t="n">
        <v>46213</v>
      </c>
      <c r="G62" s="74" t="n">
        <f aca="false">ROUND(Assumptions!$B$25*1.02*Assumptions!$B$27*$E$10*2,1)</f>
        <v>31.1</v>
      </c>
      <c r="H62" s="75" t="n">
        <f aca="false">$F$10</f>
        <v>30</v>
      </c>
      <c r="I62" s="68" t="n">
        <f aca="false">F62+H62</f>
        <v>46243</v>
      </c>
      <c r="J62" s="75" t="n">
        <f aca="false">IF(AND($H$10="Y",Assumptions!$B$10=1),Assumptions!$B$51,0)</f>
        <v>0</v>
      </c>
      <c r="K62" s="68" t="n">
        <f aca="false">I62+J62</f>
        <v>46243</v>
      </c>
      <c r="L62" s="77" t="n">
        <f aca="false">K62+IF(WEEKDAY(K62,2)&lt;=4,4-WEEKDAY(K62,2),11-WEEKDAY(K62,2))</f>
        <v>46247</v>
      </c>
      <c r="M62" s="67" t="n">
        <f aca="false">G62</f>
        <v>31.1</v>
      </c>
      <c r="N62" s="78"/>
    </row>
    <row r="63" customFormat="false" ht="12.75" hidden="false" customHeight="true" outlineLevel="0" collapsed="false">
      <c r="A63" s="71"/>
      <c r="B63" s="70" t="s">
        <v>353</v>
      </c>
      <c r="C63" s="71" t="s">
        <v>173</v>
      </c>
      <c r="D63" s="72" t="s">
        <v>120</v>
      </c>
      <c r="E63" s="49" t="s">
        <v>403</v>
      </c>
      <c r="F63" s="73" t="n">
        <v>46227</v>
      </c>
      <c r="G63" s="74" t="n">
        <f aca="false">ROUND(Assumptions!$B$25*0.98*Assumptions!$B$27*$E$10*2,1)</f>
        <v>29.9</v>
      </c>
      <c r="H63" s="75" t="n">
        <f aca="false">$F$10</f>
        <v>30</v>
      </c>
      <c r="I63" s="68" t="n">
        <f aca="false">F63+H63</f>
        <v>46257</v>
      </c>
      <c r="J63" s="75" t="n">
        <f aca="false">IF(AND($H$10="Y",Assumptions!$B$10=1),Assumptions!$B$51,0)</f>
        <v>0</v>
      </c>
      <c r="K63" s="68" t="n">
        <f aca="false">I63+J63</f>
        <v>46257</v>
      </c>
      <c r="L63" s="77" t="n">
        <f aca="false">K63+IF(WEEKDAY(K63,2)&lt;=4,4-WEEKDAY(K63,2),11-WEEKDAY(K63,2))</f>
        <v>46261</v>
      </c>
      <c r="M63" s="67" t="n">
        <f aca="false">G63</f>
        <v>29.9</v>
      </c>
      <c r="N63" s="78"/>
    </row>
    <row r="64" customFormat="false" ht="12.75" hidden="false" customHeight="true" outlineLevel="0" collapsed="false">
      <c r="A64" s="71"/>
      <c r="B64" s="70" t="s">
        <v>355</v>
      </c>
      <c r="C64" s="71" t="s">
        <v>167</v>
      </c>
      <c r="D64" s="72" t="s">
        <v>121</v>
      </c>
      <c r="E64" s="49" t="s">
        <v>404</v>
      </c>
      <c r="F64" s="73" t="n">
        <v>46199</v>
      </c>
      <c r="G64" s="74" t="n">
        <f aca="false">ROUND(Assumptions!$B$25*1*Assumptions!$B$28*$E$11*2,1)</f>
        <v>46.4</v>
      </c>
      <c r="H64" s="75" t="n">
        <f aca="false">$F$11</f>
        <v>30</v>
      </c>
      <c r="I64" s="68" t="n">
        <f aca="false">F64+H64</f>
        <v>46229</v>
      </c>
      <c r="J64" s="75" t="n">
        <f aca="false">IF(AND($H$11="Y",Assumptions!$B$10=1),Assumptions!$B$51,0)</f>
        <v>0</v>
      </c>
      <c r="K64" s="68" t="n">
        <f aca="false">I64+J64</f>
        <v>46229</v>
      </c>
      <c r="L64" s="77" t="n">
        <f aca="false">K64+IF(WEEKDAY(K64,2)&lt;=4,4-WEEKDAY(K64,2),11-WEEKDAY(K64,2))</f>
        <v>46233</v>
      </c>
      <c r="M64" s="67" t="n">
        <f aca="false">G64</f>
        <v>46.4</v>
      </c>
      <c r="N64" s="78" t="s">
        <v>374</v>
      </c>
    </row>
    <row r="65" customFormat="false" ht="12.75" hidden="false" customHeight="true" outlineLevel="0" collapsed="false">
      <c r="A65" s="71"/>
      <c r="B65" s="70" t="s">
        <v>355</v>
      </c>
      <c r="C65" s="71" t="s">
        <v>167</v>
      </c>
      <c r="D65" s="72" t="s">
        <v>121</v>
      </c>
      <c r="E65" s="49" t="s">
        <v>405</v>
      </c>
      <c r="F65" s="73" t="n">
        <v>46213</v>
      </c>
      <c r="G65" s="74" t="n">
        <f aca="false">ROUND(Assumptions!$B$25*1.02*Assumptions!$B$28*$E$11*2,1)</f>
        <v>47.3</v>
      </c>
      <c r="H65" s="75" t="n">
        <f aca="false">$F$11</f>
        <v>30</v>
      </c>
      <c r="I65" s="68" t="n">
        <f aca="false">F65+H65</f>
        <v>46243</v>
      </c>
      <c r="J65" s="75" t="n">
        <f aca="false">IF(AND($H$11="Y",Assumptions!$B$10=1),Assumptions!$B$51,0)</f>
        <v>0</v>
      </c>
      <c r="K65" s="68" t="n">
        <f aca="false">I65+J65</f>
        <v>46243</v>
      </c>
      <c r="L65" s="77" t="n">
        <f aca="false">K65+IF(WEEKDAY(K65,2)&lt;=4,4-WEEKDAY(K65,2),11-WEEKDAY(K65,2))</f>
        <v>46247</v>
      </c>
      <c r="M65" s="67" t="n">
        <f aca="false">G65</f>
        <v>47.3</v>
      </c>
      <c r="N65" s="78"/>
    </row>
    <row r="66" customFormat="false" ht="12.75" hidden="false" customHeight="true" outlineLevel="0" collapsed="false">
      <c r="A66" s="71"/>
      <c r="B66" s="70" t="s">
        <v>355</v>
      </c>
      <c r="C66" s="71" t="s">
        <v>167</v>
      </c>
      <c r="D66" s="72" t="s">
        <v>121</v>
      </c>
      <c r="E66" s="49" t="s">
        <v>406</v>
      </c>
      <c r="F66" s="73" t="n">
        <v>46227</v>
      </c>
      <c r="G66" s="74" t="n">
        <f aca="false">ROUND(Assumptions!$B$25*0.98*Assumptions!$B$28*$E$11*2,1)</f>
        <v>45.5</v>
      </c>
      <c r="H66" s="75" t="n">
        <f aca="false">$F$11</f>
        <v>30</v>
      </c>
      <c r="I66" s="68" t="n">
        <f aca="false">F66+H66</f>
        <v>46257</v>
      </c>
      <c r="J66" s="75" t="n">
        <f aca="false">IF(AND($H$11="Y",Assumptions!$B$10=1),Assumptions!$B$51,0)</f>
        <v>0</v>
      </c>
      <c r="K66" s="68" t="n">
        <f aca="false">I66+J66</f>
        <v>46257</v>
      </c>
      <c r="L66" s="77" t="n">
        <f aca="false">K66+IF(WEEKDAY(K66,2)&lt;=4,4-WEEKDAY(K66,2),11-WEEKDAY(K66,2))</f>
        <v>46261</v>
      </c>
      <c r="M66" s="67" t="n">
        <f aca="false">G66</f>
        <v>45.5</v>
      </c>
      <c r="N66" s="78"/>
    </row>
    <row r="67" customFormat="false" ht="12.75" hidden="false" customHeight="true" outlineLevel="0" collapsed="false">
      <c r="A67" s="71"/>
      <c r="B67" s="70" t="s">
        <v>357</v>
      </c>
      <c r="C67" s="71" t="s">
        <v>176</v>
      </c>
      <c r="D67" s="72" t="s">
        <v>121</v>
      </c>
      <c r="E67" s="49" t="s">
        <v>407</v>
      </c>
      <c r="F67" s="73" t="n">
        <v>46199</v>
      </c>
      <c r="G67" s="74" t="n">
        <f aca="false">ROUND(Assumptions!$B$25*1*Assumptions!$B$28*$E$12*2,1)</f>
        <v>27.2</v>
      </c>
      <c r="H67" s="75" t="n">
        <f aca="false">$F$12</f>
        <v>30</v>
      </c>
      <c r="I67" s="68" t="n">
        <f aca="false">F67+H67</f>
        <v>46229</v>
      </c>
      <c r="J67" s="75" t="n">
        <f aca="false">IF(AND($H$12="Y",Assumptions!$B$10=1),Assumptions!$B$51,0)</f>
        <v>0</v>
      </c>
      <c r="K67" s="68" t="n">
        <f aca="false">I67+J67</f>
        <v>46229</v>
      </c>
      <c r="L67" s="77" t="n">
        <f aca="false">K67+IF(WEEKDAY(K67,2)&lt;=4,4-WEEKDAY(K67,2),11-WEEKDAY(K67,2))</f>
        <v>46233</v>
      </c>
      <c r="M67" s="67" t="n">
        <f aca="false">G67</f>
        <v>27.2</v>
      </c>
      <c r="N67" s="78" t="s">
        <v>374</v>
      </c>
    </row>
    <row r="68" customFormat="false" ht="12.75" hidden="false" customHeight="true" outlineLevel="0" collapsed="false">
      <c r="A68" s="71"/>
      <c r="B68" s="70" t="s">
        <v>357</v>
      </c>
      <c r="C68" s="71" t="s">
        <v>176</v>
      </c>
      <c r="D68" s="72" t="s">
        <v>121</v>
      </c>
      <c r="E68" s="49" t="s">
        <v>408</v>
      </c>
      <c r="F68" s="73" t="n">
        <v>46213</v>
      </c>
      <c r="G68" s="74" t="n">
        <f aca="false">ROUND(Assumptions!$B$25*1.02*Assumptions!$B$28*$E$12*2,1)</f>
        <v>27.8</v>
      </c>
      <c r="H68" s="75" t="n">
        <f aca="false">$F$12</f>
        <v>30</v>
      </c>
      <c r="I68" s="68" t="n">
        <f aca="false">F68+H68</f>
        <v>46243</v>
      </c>
      <c r="J68" s="75" t="n">
        <f aca="false">IF(AND($H$12="Y",Assumptions!$B$10=1),Assumptions!$B$51,0)</f>
        <v>0</v>
      </c>
      <c r="K68" s="68" t="n">
        <f aca="false">I68+J68</f>
        <v>46243</v>
      </c>
      <c r="L68" s="77" t="n">
        <f aca="false">K68+IF(WEEKDAY(K68,2)&lt;=4,4-WEEKDAY(K68,2),11-WEEKDAY(K68,2))</f>
        <v>46247</v>
      </c>
      <c r="M68" s="67" t="n">
        <f aca="false">G68</f>
        <v>27.8</v>
      </c>
      <c r="N68" s="78"/>
    </row>
    <row r="69" customFormat="false" ht="12.75" hidden="false" customHeight="true" outlineLevel="0" collapsed="false">
      <c r="A69" s="71"/>
      <c r="B69" s="70" t="s">
        <v>357</v>
      </c>
      <c r="C69" s="71" t="s">
        <v>176</v>
      </c>
      <c r="D69" s="72" t="s">
        <v>121</v>
      </c>
      <c r="E69" s="49" t="s">
        <v>409</v>
      </c>
      <c r="F69" s="73" t="n">
        <v>46227</v>
      </c>
      <c r="G69" s="74" t="n">
        <f aca="false">ROUND(Assumptions!$B$25*0.98*Assumptions!$B$28*$E$12*2,1)</f>
        <v>26.7</v>
      </c>
      <c r="H69" s="75" t="n">
        <f aca="false">$F$12</f>
        <v>30</v>
      </c>
      <c r="I69" s="68" t="n">
        <f aca="false">F69+H69</f>
        <v>46257</v>
      </c>
      <c r="J69" s="75" t="n">
        <f aca="false">IF(AND($H$12="Y",Assumptions!$B$10=1),Assumptions!$B$51,0)</f>
        <v>0</v>
      </c>
      <c r="K69" s="68" t="n">
        <f aca="false">I69+J69</f>
        <v>46257</v>
      </c>
      <c r="L69" s="77" t="n">
        <f aca="false">K69+IF(WEEKDAY(K69,2)&lt;=4,4-WEEKDAY(K69,2),11-WEEKDAY(K69,2))</f>
        <v>46261</v>
      </c>
      <c r="M69" s="67" t="n">
        <f aca="false">G69</f>
        <v>26.7</v>
      </c>
      <c r="N69" s="78"/>
    </row>
    <row r="70" customFormat="false" ht="12.75" hidden="false" customHeight="true" outlineLevel="0" collapsed="false">
      <c r="A70" s="71"/>
      <c r="B70" s="70" t="s">
        <v>359</v>
      </c>
      <c r="C70" s="71" t="s">
        <v>173</v>
      </c>
      <c r="D70" s="72" t="s">
        <v>123</v>
      </c>
      <c r="E70" s="49" t="s">
        <v>410</v>
      </c>
      <c r="F70" s="73" t="n">
        <v>46199</v>
      </c>
      <c r="G70" s="74" t="n">
        <f aca="false">ROUND(Assumptions!$B$25*1*Assumptions!$B$29*$E$13*2,1)</f>
        <v>33.5</v>
      </c>
      <c r="H70" s="75" t="n">
        <f aca="false">$F$13</f>
        <v>30</v>
      </c>
      <c r="I70" s="68" t="n">
        <f aca="false">F70+H70</f>
        <v>46229</v>
      </c>
      <c r="J70" s="75" t="n">
        <f aca="false">IF(AND($H$13="Y",Assumptions!$B$10=1),Assumptions!$B$51,0)</f>
        <v>0</v>
      </c>
      <c r="K70" s="68" t="n">
        <f aca="false">I70+J70</f>
        <v>46229</v>
      </c>
      <c r="L70" s="77" t="n">
        <f aca="false">K70+IF(WEEKDAY(K70,2)&lt;=4,4-WEEKDAY(K70,2),11-WEEKDAY(K70,2))</f>
        <v>46233</v>
      </c>
      <c r="M70" s="67" t="n">
        <f aca="false">G70</f>
        <v>33.5</v>
      </c>
      <c r="N70" s="78" t="s">
        <v>374</v>
      </c>
    </row>
    <row r="71" customFormat="false" ht="12.75" hidden="false" customHeight="true" outlineLevel="0" collapsed="false">
      <c r="A71" s="71"/>
      <c r="B71" s="70" t="s">
        <v>359</v>
      </c>
      <c r="C71" s="71" t="s">
        <v>173</v>
      </c>
      <c r="D71" s="72" t="s">
        <v>123</v>
      </c>
      <c r="E71" s="49" t="s">
        <v>411</v>
      </c>
      <c r="F71" s="73" t="n">
        <v>46213</v>
      </c>
      <c r="G71" s="74" t="n">
        <f aca="false">ROUND(Assumptions!$B$25*1.02*Assumptions!$B$29*$E$13*2,1)</f>
        <v>34.1</v>
      </c>
      <c r="H71" s="75" t="n">
        <f aca="false">$F$13</f>
        <v>30</v>
      </c>
      <c r="I71" s="68" t="n">
        <f aca="false">F71+H71</f>
        <v>46243</v>
      </c>
      <c r="J71" s="75" t="n">
        <f aca="false">IF(AND($H$13="Y",Assumptions!$B$10=1),Assumptions!$B$51,0)</f>
        <v>0</v>
      </c>
      <c r="K71" s="68" t="n">
        <f aca="false">I71+J71</f>
        <v>46243</v>
      </c>
      <c r="L71" s="77" t="n">
        <f aca="false">K71+IF(WEEKDAY(K71,2)&lt;=4,4-WEEKDAY(K71,2),11-WEEKDAY(K71,2))</f>
        <v>46247</v>
      </c>
      <c r="M71" s="67" t="n">
        <f aca="false">G71</f>
        <v>34.1</v>
      </c>
      <c r="N71" s="78"/>
    </row>
    <row r="72" customFormat="false" ht="12.75" hidden="false" customHeight="true" outlineLevel="0" collapsed="false">
      <c r="A72" s="71"/>
      <c r="B72" s="70" t="s">
        <v>359</v>
      </c>
      <c r="C72" s="71" t="s">
        <v>173</v>
      </c>
      <c r="D72" s="72" t="s">
        <v>123</v>
      </c>
      <c r="E72" s="49" t="s">
        <v>412</v>
      </c>
      <c r="F72" s="73" t="n">
        <v>46227</v>
      </c>
      <c r="G72" s="74" t="n">
        <f aca="false">ROUND(Assumptions!$B$25*0.98*Assumptions!$B$29*$E$13*2,1)</f>
        <v>32.8</v>
      </c>
      <c r="H72" s="75" t="n">
        <f aca="false">$F$13</f>
        <v>30</v>
      </c>
      <c r="I72" s="68" t="n">
        <f aca="false">F72+H72</f>
        <v>46257</v>
      </c>
      <c r="J72" s="75" t="n">
        <f aca="false">IF(AND($H$13="Y",Assumptions!$B$10=1),Assumptions!$B$51,0)</f>
        <v>0</v>
      </c>
      <c r="K72" s="68" t="n">
        <f aca="false">I72+J72</f>
        <v>46257</v>
      </c>
      <c r="L72" s="77" t="n">
        <f aca="false">K72+IF(WEEKDAY(K72,2)&lt;=4,4-WEEKDAY(K72,2),11-WEEKDAY(K72,2))</f>
        <v>46261</v>
      </c>
      <c r="M72" s="67" t="n">
        <f aca="false">G72</f>
        <v>32.8</v>
      </c>
      <c r="N72" s="78"/>
    </row>
    <row r="73" customFormat="false" ht="15" hidden="false" customHeight="false" outlineLevel="0" collapsed="false">
      <c r="B73" s="59" t="s">
        <v>413</v>
      </c>
      <c r="C73" s="60"/>
      <c r="D73" s="60"/>
      <c r="E73" s="60"/>
      <c r="F73" s="60"/>
      <c r="G73" s="63" t="n">
        <f aca="false">SUM(G34:G72)</f>
        <v>2906.8</v>
      </c>
      <c r="H73" s="60"/>
      <c r="I73" s="60"/>
      <c r="J73" s="60"/>
      <c r="K73" s="60"/>
      <c r="L73" s="60"/>
      <c r="M73" s="63" t="n">
        <f aca="false">SUM(M34:M72)</f>
        <v>2906.8</v>
      </c>
      <c r="N73" s="64" t="s">
        <v>414</v>
      </c>
    </row>
    <row r="75" customFormat="false" ht="16.5" hidden="false" customHeight="true" outlineLevel="0" collapsed="false">
      <c r="A75" s="10" t="s">
        <v>415</v>
      </c>
      <c r="B75" s="10"/>
      <c r="C75" s="10"/>
      <c r="D75" s="10"/>
      <c r="E75" s="10"/>
      <c r="F75" s="10"/>
      <c r="G75" s="10"/>
      <c r="H75" s="10"/>
      <c r="I75" s="10"/>
      <c r="J75" s="10"/>
      <c r="K75" s="10"/>
      <c r="L75" s="10"/>
      <c r="M75" s="10"/>
      <c r="N75" s="10"/>
    </row>
    <row r="76" customFormat="false" ht="27.75" hidden="false" customHeight="true" outlineLevel="0" collapsed="false">
      <c r="B76" s="12" t="s">
        <v>338</v>
      </c>
      <c r="C76" s="12" t="s">
        <v>156</v>
      </c>
      <c r="D76" s="12" t="s">
        <v>157</v>
      </c>
      <c r="E76" s="12" t="s">
        <v>103</v>
      </c>
      <c r="F76" s="12" t="s">
        <v>193</v>
      </c>
      <c r="G76" s="12" t="s">
        <v>216</v>
      </c>
      <c r="H76" s="12" t="s">
        <v>217</v>
      </c>
      <c r="I76" s="12" t="s">
        <v>218</v>
      </c>
      <c r="J76" s="12" t="s">
        <v>369</v>
      </c>
      <c r="K76" s="12" t="s">
        <v>370</v>
      </c>
      <c r="L76" s="12" t="s">
        <v>371</v>
      </c>
      <c r="M76" s="12" t="s">
        <v>372</v>
      </c>
      <c r="N76" s="12" t="s">
        <v>194</v>
      </c>
    </row>
    <row r="77" customFormat="false" ht="12.75" hidden="false" customHeight="true" outlineLevel="0" collapsed="false">
      <c r="A77" s="71"/>
      <c r="B77" s="70" t="s">
        <v>343</v>
      </c>
      <c r="C77" s="71" t="s">
        <v>173</v>
      </c>
      <c r="D77" s="72" t="s">
        <v>119</v>
      </c>
      <c r="E77" s="49" t="s">
        <v>195</v>
      </c>
      <c r="F77" s="66" t="n">
        <f aca="false">$J$17</f>
        <v>46234</v>
      </c>
      <c r="G77" s="74" t="n">
        <f aca="false">ROUND($F$17*$E$6,1)</f>
        <v>138.5</v>
      </c>
      <c r="H77" s="75" t="n">
        <f aca="false">$F$6</f>
        <v>45</v>
      </c>
      <c r="I77" s="68" t="n">
        <f aca="false">F77+H77</f>
        <v>46279</v>
      </c>
      <c r="J77" s="75" t="n">
        <f aca="false">IF(AND($H$6="Y",Assumptions!$B$10=1),Assumptions!$B$51,0)</f>
        <v>0</v>
      </c>
      <c r="K77" s="68" t="n">
        <f aca="false">I77+J77</f>
        <v>46279</v>
      </c>
      <c r="L77" s="77" t="n">
        <f aca="false">K77+IF(WEEKDAY(K77,2)&lt;=4,4-WEEKDAY(K77,2),11-WEEKDAY(K77,2))</f>
        <v>46282</v>
      </c>
      <c r="M77" s="67" t="n">
        <f aca="false">G77</f>
        <v>138.5</v>
      </c>
    </row>
    <row r="78" customFormat="false" ht="12.75" hidden="false" customHeight="true" outlineLevel="0" collapsed="false">
      <c r="A78" s="71"/>
      <c r="B78" s="70" t="s">
        <v>343</v>
      </c>
      <c r="C78" s="71" t="s">
        <v>173</v>
      </c>
      <c r="D78" s="72" t="s">
        <v>119</v>
      </c>
      <c r="E78" s="49" t="s">
        <v>197</v>
      </c>
      <c r="F78" s="66" t="n">
        <f aca="false">$J$18</f>
        <v>46241</v>
      </c>
      <c r="G78" s="74" t="n">
        <f aca="false">ROUND($F$18*$E$6,1)</f>
        <v>141.3</v>
      </c>
      <c r="H78" s="75" t="n">
        <f aca="false">$F$6</f>
        <v>45</v>
      </c>
      <c r="I78" s="68" t="n">
        <f aca="false">F78+H78</f>
        <v>46286</v>
      </c>
      <c r="J78" s="75" t="n">
        <f aca="false">IF(AND($H$6="Y",Assumptions!$B$10=1),Assumptions!$B$51,0)</f>
        <v>0</v>
      </c>
      <c r="K78" s="68" t="n">
        <f aca="false">I78+J78</f>
        <v>46286</v>
      </c>
      <c r="L78" s="77" t="n">
        <f aca="false">K78+IF(WEEKDAY(K78,2)&lt;=4,4-WEEKDAY(K78,2),11-WEEKDAY(K78,2))</f>
        <v>46289</v>
      </c>
      <c r="M78" s="67" t="n">
        <f aca="false">G78</f>
        <v>141.3</v>
      </c>
    </row>
    <row r="79" customFormat="false" ht="12.75" hidden="false" customHeight="true" outlineLevel="0" collapsed="false">
      <c r="A79" s="71"/>
      <c r="B79" s="70" t="s">
        <v>343</v>
      </c>
      <c r="C79" s="71" t="s">
        <v>173</v>
      </c>
      <c r="D79" s="72" t="s">
        <v>119</v>
      </c>
      <c r="E79" s="49" t="s">
        <v>198</v>
      </c>
      <c r="F79" s="66" t="n">
        <f aca="false">$J$19</f>
        <v>46248</v>
      </c>
      <c r="G79" s="74" t="n">
        <f aca="false">ROUND($F$19*$E$6,1)</f>
        <v>27.7</v>
      </c>
      <c r="H79" s="75" t="n">
        <f aca="false">$F$6</f>
        <v>45</v>
      </c>
      <c r="I79" s="68" t="n">
        <f aca="false">F79+H79</f>
        <v>46293</v>
      </c>
      <c r="J79" s="75" t="n">
        <f aca="false">IF(AND($H$6="Y",Assumptions!$B$10=1),Assumptions!$B$51,0)</f>
        <v>0</v>
      </c>
      <c r="K79" s="68" t="n">
        <f aca="false">I79+J79</f>
        <v>46293</v>
      </c>
      <c r="L79" s="77" t="n">
        <f aca="false">K79+IF(WEEKDAY(K79,2)&lt;=4,4-WEEKDAY(K79,2),11-WEEKDAY(K79,2))</f>
        <v>46296</v>
      </c>
      <c r="M79" s="67" t="n">
        <f aca="false">G79</f>
        <v>27.7</v>
      </c>
    </row>
    <row r="80" customFormat="false" ht="12.75" hidden="false" customHeight="true" outlineLevel="0" collapsed="false">
      <c r="A80" s="71"/>
      <c r="B80" s="70" t="s">
        <v>343</v>
      </c>
      <c r="C80" s="71" t="s">
        <v>173</v>
      </c>
      <c r="D80" s="72" t="s">
        <v>119</v>
      </c>
      <c r="E80" s="49" t="s">
        <v>200</v>
      </c>
      <c r="F80" s="66" t="n">
        <f aca="false">$J$20</f>
        <v>46255</v>
      </c>
      <c r="G80" s="74" t="n">
        <f aca="false">ROUND($F$20*$E$6,1)</f>
        <v>27.7</v>
      </c>
      <c r="H80" s="75" t="n">
        <f aca="false">$F$6</f>
        <v>45</v>
      </c>
      <c r="I80" s="68" t="n">
        <f aca="false">F80+H80</f>
        <v>46300</v>
      </c>
      <c r="J80" s="75" t="n">
        <f aca="false">IF(AND($H$6="Y",Assumptions!$B$10=1),Assumptions!$B$51,0)</f>
        <v>0</v>
      </c>
      <c r="K80" s="68" t="n">
        <f aca="false">I80+J80</f>
        <v>46300</v>
      </c>
      <c r="L80" s="77" t="n">
        <f aca="false">K80+IF(WEEKDAY(K80,2)&lt;=4,4-WEEKDAY(K80,2),11-WEEKDAY(K80,2))</f>
        <v>46303</v>
      </c>
      <c r="M80" s="67" t="n">
        <f aca="false">G80</f>
        <v>27.7</v>
      </c>
    </row>
    <row r="81" customFormat="false" ht="12.75" hidden="false" customHeight="true" outlineLevel="0" collapsed="false">
      <c r="A81" s="71"/>
      <c r="B81" s="70" t="s">
        <v>343</v>
      </c>
      <c r="C81" s="71" t="s">
        <v>173</v>
      </c>
      <c r="D81" s="72" t="s">
        <v>119</v>
      </c>
      <c r="E81" s="49" t="s">
        <v>201</v>
      </c>
      <c r="F81" s="66" t="n">
        <f aca="false">$J$21</f>
        <v>46262</v>
      </c>
      <c r="G81" s="74" t="n">
        <f aca="false">ROUND($F$21*$E$6,1)</f>
        <v>117.7</v>
      </c>
      <c r="H81" s="75" t="n">
        <f aca="false">$F$6</f>
        <v>45</v>
      </c>
      <c r="I81" s="68" t="n">
        <f aca="false">F81+H81</f>
        <v>46307</v>
      </c>
      <c r="J81" s="75" t="n">
        <f aca="false">IF(AND($H$6="Y",Assumptions!$B$10=1),Assumptions!$B$51,0)</f>
        <v>0</v>
      </c>
      <c r="K81" s="68" t="n">
        <f aca="false">I81+J81</f>
        <v>46307</v>
      </c>
      <c r="L81" s="77" t="n">
        <f aca="false">K81+IF(WEEKDAY(K81,2)&lt;=4,4-WEEKDAY(K81,2),11-WEEKDAY(K81,2))</f>
        <v>46310</v>
      </c>
      <c r="M81" s="67" t="n">
        <f aca="false">G81</f>
        <v>117.7</v>
      </c>
    </row>
    <row r="82" customFormat="false" ht="12.75" hidden="false" customHeight="true" outlineLevel="0" collapsed="false">
      <c r="A82" s="71"/>
      <c r="B82" s="70" t="s">
        <v>343</v>
      </c>
      <c r="C82" s="71" t="s">
        <v>173</v>
      </c>
      <c r="D82" s="72" t="s">
        <v>119</v>
      </c>
      <c r="E82" s="49" t="s">
        <v>203</v>
      </c>
      <c r="F82" s="66" t="n">
        <f aca="false">$J$22</f>
        <v>46269</v>
      </c>
      <c r="G82" s="74" t="n">
        <f aca="false">ROUND($F$22*$E$6,1)</f>
        <v>145.4</v>
      </c>
      <c r="H82" s="75" t="n">
        <f aca="false">$F$6</f>
        <v>45</v>
      </c>
      <c r="I82" s="68" t="n">
        <f aca="false">F82+H82</f>
        <v>46314</v>
      </c>
      <c r="J82" s="75" t="n">
        <f aca="false">IF(AND($H$6="Y",Assumptions!$B$10=1),Assumptions!$B$51,0)</f>
        <v>0</v>
      </c>
      <c r="K82" s="68" t="n">
        <f aca="false">I82+J82</f>
        <v>46314</v>
      </c>
      <c r="L82" s="77" t="n">
        <f aca="false">K82+IF(WEEKDAY(K82,2)&lt;=4,4-WEEKDAY(K82,2),11-WEEKDAY(K82,2))</f>
        <v>46317</v>
      </c>
      <c r="M82" s="67" t="n">
        <f aca="false">G82</f>
        <v>145.4</v>
      </c>
    </row>
    <row r="83" customFormat="false" ht="12.75" hidden="false" customHeight="true" outlineLevel="0" collapsed="false">
      <c r="A83" s="71"/>
      <c r="B83" s="70" t="s">
        <v>343</v>
      </c>
      <c r="C83" s="71" t="s">
        <v>173</v>
      </c>
      <c r="D83" s="72" t="s">
        <v>119</v>
      </c>
      <c r="E83" s="49" t="s">
        <v>204</v>
      </c>
      <c r="F83" s="66" t="n">
        <f aca="false">$J$23</f>
        <v>46276</v>
      </c>
      <c r="G83" s="74" t="n">
        <f aca="false">ROUND($F$23*$E$6,1)</f>
        <v>152.4</v>
      </c>
      <c r="H83" s="75" t="n">
        <f aca="false">$F$6</f>
        <v>45</v>
      </c>
      <c r="I83" s="68" t="n">
        <f aca="false">F83+H83</f>
        <v>46321</v>
      </c>
      <c r="J83" s="75" t="n">
        <f aca="false">IF(AND($H$6="Y",Assumptions!$B$10=1),Assumptions!$B$51,0)</f>
        <v>0</v>
      </c>
      <c r="K83" s="68" t="n">
        <f aca="false">I83+J83</f>
        <v>46321</v>
      </c>
      <c r="L83" s="77" t="n">
        <f aca="false">K83+IF(WEEKDAY(K83,2)&lt;=4,4-WEEKDAY(K83,2),11-WEEKDAY(K83,2))</f>
        <v>46324</v>
      </c>
      <c r="M83" s="67" t="n">
        <f aca="false">G83</f>
        <v>152.4</v>
      </c>
    </row>
    <row r="84" customFormat="false" ht="12.75" hidden="false" customHeight="true" outlineLevel="0" collapsed="false">
      <c r="A84" s="71"/>
      <c r="B84" s="70" t="s">
        <v>343</v>
      </c>
      <c r="C84" s="71" t="s">
        <v>173</v>
      </c>
      <c r="D84" s="72" t="s">
        <v>119</v>
      </c>
      <c r="E84" s="49" t="s">
        <v>206</v>
      </c>
      <c r="F84" s="66" t="n">
        <f aca="false">$J$24</f>
        <v>46283</v>
      </c>
      <c r="G84" s="74" t="n">
        <f aca="false">ROUND($F$24*$E$6,1)</f>
        <v>152.4</v>
      </c>
      <c r="H84" s="75" t="n">
        <f aca="false">$F$6</f>
        <v>45</v>
      </c>
      <c r="I84" s="68" t="n">
        <f aca="false">F84+H84</f>
        <v>46328</v>
      </c>
      <c r="J84" s="75" t="n">
        <f aca="false">IF(AND($H$6="Y",Assumptions!$B$10=1),Assumptions!$B$51,0)</f>
        <v>0</v>
      </c>
      <c r="K84" s="68" t="n">
        <f aca="false">I84+J84</f>
        <v>46328</v>
      </c>
      <c r="L84" s="77" t="n">
        <f aca="false">K84+IF(WEEKDAY(K84,2)&lt;=4,4-WEEKDAY(K84,2),11-WEEKDAY(K84,2))</f>
        <v>46331</v>
      </c>
      <c r="M84" s="67" t="n">
        <f aca="false">G84</f>
        <v>152.4</v>
      </c>
    </row>
    <row r="85" customFormat="false" ht="12.75" hidden="false" customHeight="true" outlineLevel="0" collapsed="false">
      <c r="A85" s="71"/>
      <c r="B85" s="70" t="s">
        <v>343</v>
      </c>
      <c r="C85" s="71" t="s">
        <v>173</v>
      </c>
      <c r="D85" s="72" t="s">
        <v>119</v>
      </c>
      <c r="E85" s="49" t="s">
        <v>207</v>
      </c>
      <c r="F85" s="66" t="n">
        <f aca="false">$J$25</f>
        <v>46290</v>
      </c>
      <c r="G85" s="74" t="n">
        <f aca="false">ROUND($F$25*$E$6,1)</f>
        <v>149.6</v>
      </c>
      <c r="H85" s="75" t="n">
        <f aca="false">$F$6</f>
        <v>45</v>
      </c>
      <c r="I85" s="68" t="n">
        <f aca="false">F85+H85</f>
        <v>46335</v>
      </c>
      <c r="J85" s="75" t="n">
        <f aca="false">IF(AND($H$6="Y",Assumptions!$B$10=1),Assumptions!$B$51,0)</f>
        <v>0</v>
      </c>
      <c r="K85" s="68" t="n">
        <f aca="false">I85+J85</f>
        <v>46335</v>
      </c>
      <c r="L85" s="77" t="n">
        <f aca="false">K85+IF(WEEKDAY(K85,2)&lt;=4,4-WEEKDAY(K85,2),11-WEEKDAY(K85,2))</f>
        <v>46338</v>
      </c>
      <c r="M85" s="67" t="n">
        <f aca="false">G85</f>
        <v>149.6</v>
      </c>
    </row>
    <row r="86" customFormat="false" ht="12.75" hidden="false" customHeight="true" outlineLevel="0" collapsed="false">
      <c r="A86" s="71"/>
      <c r="B86" s="70" t="s">
        <v>343</v>
      </c>
      <c r="C86" s="71" t="s">
        <v>173</v>
      </c>
      <c r="D86" s="72" t="s">
        <v>119</v>
      </c>
      <c r="E86" s="49" t="s">
        <v>208</v>
      </c>
      <c r="F86" s="66" t="n">
        <f aca="false">$J$26</f>
        <v>46297</v>
      </c>
      <c r="G86" s="74" t="n">
        <f aca="false">ROUND($F$26*$E$6,1)</f>
        <v>145.4</v>
      </c>
      <c r="H86" s="75" t="n">
        <f aca="false">$F$6</f>
        <v>45</v>
      </c>
      <c r="I86" s="68" t="n">
        <f aca="false">F86+H86</f>
        <v>46342</v>
      </c>
      <c r="J86" s="75" t="n">
        <f aca="false">IF(AND($H$6="Y",Assumptions!$B$10=1),Assumptions!$B$51,0)</f>
        <v>0</v>
      </c>
      <c r="K86" s="68" t="n">
        <f aca="false">I86+J86</f>
        <v>46342</v>
      </c>
      <c r="L86" s="77" t="n">
        <f aca="false">K86+IF(WEEKDAY(K86,2)&lt;=4,4-WEEKDAY(K86,2),11-WEEKDAY(K86,2))</f>
        <v>46345</v>
      </c>
      <c r="M86" s="67" t="n">
        <f aca="false">G86</f>
        <v>145.4</v>
      </c>
    </row>
    <row r="87" customFormat="false" ht="12.75" hidden="false" customHeight="true" outlineLevel="0" collapsed="false">
      <c r="A87" s="71"/>
      <c r="B87" s="70" t="s">
        <v>343</v>
      </c>
      <c r="C87" s="71" t="s">
        <v>173</v>
      </c>
      <c r="D87" s="72" t="s">
        <v>119</v>
      </c>
      <c r="E87" s="49" t="s">
        <v>209</v>
      </c>
      <c r="F87" s="66" t="n">
        <f aca="false">$J$27</f>
        <v>46304</v>
      </c>
      <c r="G87" s="74" t="n">
        <f aca="false">ROUND($F$27*$E$6,1)</f>
        <v>145.4</v>
      </c>
      <c r="H87" s="75" t="n">
        <f aca="false">$F$6</f>
        <v>45</v>
      </c>
      <c r="I87" s="68" t="n">
        <f aca="false">F87+H87</f>
        <v>46349</v>
      </c>
      <c r="J87" s="75" t="n">
        <f aca="false">IF(AND($H$6="Y",Assumptions!$B$10=1),Assumptions!$B$51,0)</f>
        <v>0</v>
      </c>
      <c r="K87" s="68" t="n">
        <f aca="false">I87+J87</f>
        <v>46349</v>
      </c>
      <c r="L87" s="77" t="n">
        <f aca="false">K87+IF(WEEKDAY(K87,2)&lt;=4,4-WEEKDAY(K87,2),11-WEEKDAY(K87,2))</f>
        <v>46352</v>
      </c>
      <c r="M87" s="67" t="n">
        <f aca="false">G87</f>
        <v>145.4</v>
      </c>
    </row>
    <row r="88" customFormat="false" ht="12.75" hidden="false" customHeight="true" outlineLevel="0" collapsed="false">
      <c r="A88" s="71"/>
      <c r="B88" s="70" t="s">
        <v>343</v>
      </c>
      <c r="C88" s="71" t="s">
        <v>173</v>
      </c>
      <c r="D88" s="72" t="s">
        <v>119</v>
      </c>
      <c r="E88" s="49" t="s">
        <v>210</v>
      </c>
      <c r="F88" s="66" t="n">
        <f aca="false">$J$28</f>
        <v>46311</v>
      </c>
      <c r="G88" s="74" t="n">
        <f aca="false">ROUND($F$28*$E$6,1)</f>
        <v>141.3</v>
      </c>
      <c r="H88" s="75" t="n">
        <f aca="false">$F$6</f>
        <v>45</v>
      </c>
      <c r="I88" s="68" t="n">
        <f aca="false">F88+H88</f>
        <v>46356</v>
      </c>
      <c r="J88" s="75" t="n">
        <f aca="false">IF(AND($H$6="Y",Assumptions!$B$10=1),Assumptions!$B$51,0)</f>
        <v>0</v>
      </c>
      <c r="K88" s="68" t="n">
        <f aca="false">I88+J88</f>
        <v>46356</v>
      </c>
      <c r="L88" s="77" t="n">
        <f aca="false">K88+IF(WEEKDAY(K88,2)&lt;=4,4-WEEKDAY(K88,2),11-WEEKDAY(K88,2))</f>
        <v>46359</v>
      </c>
      <c r="M88" s="67" t="n">
        <f aca="false">G88</f>
        <v>141.3</v>
      </c>
    </row>
    <row r="89" customFormat="false" ht="12.75" hidden="false" customHeight="true" outlineLevel="0" collapsed="false">
      <c r="A89" s="71"/>
      <c r="B89" s="70" t="s">
        <v>343</v>
      </c>
      <c r="C89" s="71" t="s">
        <v>173</v>
      </c>
      <c r="D89" s="72" t="s">
        <v>119</v>
      </c>
      <c r="E89" s="49" t="s">
        <v>211</v>
      </c>
      <c r="F89" s="66" t="n">
        <f aca="false">$J$29</f>
        <v>46318</v>
      </c>
      <c r="G89" s="74" t="n">
        <f aca="false">ROUND($F$29*$E$6,1)</f>
        <v>138.5</v>
      </c>
      <c r="H89" s="75" t="n">
        <f aca="false">$F$6</f>
        <v>45</v>
      </c>
      <c r="I89" s="68" t="n">
        <f aca="false">F89+H89</f>
        <v>46363</v>
      </c>
      <c r="J89" s="75" t="n">
        <f aca="false">IF(AND($H$6="Y",Assumptions!$B$10=1),Assumptions!$B$51,0)</f>
        <v>0</v>
      </c>
      <c r="K89" s="68" t="n">
        <f aca="false">I89+J89</f>
        <v>46363</v>
      </c>
      <c r="L89" s="77" t="n">
        <f aca="false">K89+IF(WEEKDAY(K89,2)&lt;=4,4-WEEKDAY(K89,2),11-WEEKDAY(K89,2))</f>
        <v>46366</v>
      </c>
      <c r="M89" s="67" t="n">
        <f aca="false">G89</f>
        <v>138.5</v>
      </c>
    </row>
    <row r="90" customFormat="false" ht="12.75" hidden="false" customHeight="true" outlineLevel="0" collapsed="false">
      <c r="A90" s="71"/>
      <c r="B90" s="70" t="s">
        <v>345</v>
      </c>
      <c r="C90" s="71" t="s">
        <v>167</v>
      </c>
      <c r="D90" s="72" t="s">
        <v>119</v>
      </c>
      <c r="E90" s="49" t="s">
        <v>195</v>
      </c>
      <c r="F90" s="66" t="n">
        <f aca="false">$J$17</f>
        <v>46234</v>
      </c>
      <c r="G90" s="74" t="n">
        <f aca="false">ROUND($F$17*$E$7,1)</f>
        <v>107.7</v>
      </c>
      <c r="H90" s="75" t="n">
        <f aca="false">$F$7</f>
        <v>45</v>
      </c>
      <c r="I90" s="68" t="n">
        <f aca="false">F90+H90</f>
        <v>46279</v>
      </c>
      <c r="J90" s="75" t="n">
        <f aca="false">IF(AND($H$7="Y",Assumptions!$B$10=1),Assumptions!$B$51,0)</f>
        <v>0</v>
      </c>
      <c r="K90" s="68" t="n">
        <f aca="false">I90+J90</f>
        <v>46279</v>
      </c>
      <c r="L90" s="77" t="n">
        <f aca="false">K90+IF(WEEKDAY(K90,2)&lt;=4,4-WEEKDAY(K90,2),11-WEEKDAY(K90,2))</f>
        <v>46282</v>
      </c>
      <c r="M90" s="67" t="n">
        <f aca="false">G90</f>
        <v>107.7</v>
      </c>
    </row>
    <row r="91" customFormat="false" ht="12.75" hidden="false" customHeight="true" outlineLevel="0" collapsed="false">
      <c r="A91" s="71"/>
      <c r="B91" s="70" t="s">
        <v>345</v>
      </c>
      <c r="C91" s="71" t="s">
        <v>167</v>
      </c>
      <c r="D91" s="72" t="s">
        <v>119</v>
      </c>
      <c r="E91" s="49" t="s">
        <v>197</v>
      </c>
      <c r="F91" s="66" t="n">
        <f aca="false">$J$18</f>
        <v>46241</v>
      </c>
      <c r="G91" s="74" t="n">
        <f aca="false">ROUND($F$18*$E$7,1)</f>
        <v>109.9</v>
      </c>
      <c r="H91" s="75" t="n">
        <f aca="false">$F$7</f>
        <v>45</v>
      </c>
      <c r="I91" s="68" t="n">
        <f aca="false">F91+H91</f>
        <v>46286</v>
      </c>
      <c r="J91" s="75" t="n">
        <f aca="false">IF(AND($H$7="Y",Assumptions!$B$10=1),Assumptions!$B$51,0)</f>
        <v>0</v>
      </c>
      <c r="K91" s="68" t="n">
        <f aca="false">I91+J91</f>
        <v>46286</v>
      </c>
      <c r="L91" s="77" t="n">
        <f aca="false">K91+IF(WEEKDAY(K91,2)&lt;=4,4-WEEKDAY(K91,2),11-WEEKDAY(K91,2))</f>
        <v>46289</v>
      </c>
      <c r="M91" s="67" t="n">
        <f aca="false">G91</f>
        <v>109.9</v>
      </c>
    </row>
    <row r="92" customFormat="false" ht="12.75" hidden="false" customHeight="true" outlineLevel="0" collapsed="false">
      <c r="A92" s="71"/>
      <c r="B92" s="70" t="s">
        <v>345</v>
      </c>
      <c r="C92" s="71" t="s">
        <v>167</v>
      </c>
      <c r="D92" s="72" t="s">
        <v>119</v>
      </c>
      <c r="E92" s="49" t="s">
        <v>198</v>
      </c>
      <c r="F92" s="66" t="n">
        <f aca="false">$J$19</f>
        <v>46248</v>
      </c>
      <c r="G92" s="74" t="n">
        <f aca="false">ROUND($F$19*$E$7,1)</f>
        <v>21.5</v>
      </c>
      <c r="H92" s="75" t="n">
        <f aca="false">$F$7</f>
        <v>45</v>
      </c>
      <c r="I92" s="68" t="n">
        <f aca="false">F92+H92</f>
        <v>46293</v>
      </c>
      <c r="J92" s="75" t="n">
        <f aca="false">IF(AND($H$7="Y",Assumptions!$B$10=1),Assumptions!$B$51,0)</f>
        <v>0</v>
      </c>
      <c r="K92" s="68" t="n">
        <f aca="false">I92+J92</f>
        <v>46293</v>
      </c>
      <c r="L92" s="77" t="n">
        <f aca="false">K92+IF(WEEKDAY(K92,2)&lt;=4,4-WEEKDAY(K92,2),11-WEEKDAY(K92,2))</f>
        <v>46296</v>
      </c>
      <c r="M92" s="67" t="n">
        <f aca="false">G92</f>
        <v>21.5</v>
      </c>
    </row>
    <row r="93" customFormat="false" ht="12.75" hidden="false" customHeight="true" outlineLevel="0" collapsed="false">
      <c r="A93" s="71"/>
      <c r="B93" s="70" t="s">
        <v>345</v>
      </c>
      <c r="C93" s="71" t="s">
        <v>167</v>
      </c>
      <c r="D93" s="72" t="s">
        <v>119</v>
      </c>
      <c r="E93" s="49" t="s">
        <v>200</v>
      </c>
      <c r="F93" s="66" t="n">
        <f aca="false">$J$20</f>
        <v>46255</v>
      </c>
      <c r="G93" s="74" t="n">
        <f aca="false">ROUND($F$20*$E$7,1)</f>
        <v>21.5</v>
      </c>
      <c r="H93" s="75" t="n">
        <f aca="false">$F$7</f>
        <v>45</v>
      </c>
      <c r="I93" s="68" t="n">
        <f aca="false">F93+H93</f>
        <v>46300</v>
      </c>
      <c r="J93" s="75" t="n">
        <f aca="false">IF(AND($H$7="Y",Assumptions!$B$10=1),Assumptions!$B$51,0)</f>
        <v>0</v>
      </c>
      <c r="K93" s="68" t="n">
        <f aca="false">I93+J93</f>
        <v>46300</v>
      </c>
      <c r="L93" s="77" t="n">
        <f aca="false">K93+IF(WEEKDAY(K93,2)&lt;=4,4-WEEKDAY(K93,2),11-WEEKDAY(K93,2))</f>
        <v>46303</v>
      </c>
      <c r="M93" s="67" t="n">
        <f aca="false">G93</f>
        <v>21.5</v>
      </c>
    </row>
    <row r="94" customFormat="false" ht="12.75" hidden="false" customHeight="true" outlineLevel="0" collapsed="false">
      <c r="A94" s="71"/>
      <c r="B94" s="70" t="s">
        <v>345</v>
      </c>
      <c r="C94" s="71" t="s">
        <v>167</v>
      </c>
      <c r="D94" s="72" t="s">
        <v>119</v>
      </c>
      <c r="E94" s="49" t="s">
        <v>201</v>
      </c>
      <c r="F94" s="66" t="n">
        <f aca="false">$J$21</f>
        <v>46262</v>
      </c>
      <c r="G94" s="74" t="n">
        <f aca="false">ROUND($F$21*$E$7,1)</f>
        <v>91.6</v>
      </c>
      <c r="H94" s="75" t="n">
        <f aca="false">$F$7</f>
        <v>45</v>
      </c>
      <c r="I94" s="68" t="n">
        <f aca="false">F94+H94</f>
        <v>46307</v>
      </c>
      <c r="J94" s="75" t="n">
        <f aca="false">IF(AND($H$7="Y",Assumptions!$B$10=1),Assumptions!$B$51,0)</f>
        <v>0</v>
      </c>
      <c r="K94" s="68" t="n">
        <f aca="false">I94+J94</f>
        <v>46307</v>
      </c>
      <c r="L94" s="77" t="n">
        <f aca="false">K94+IF(WEEKDAY(K94,2)&lt;=4,4-WEEKDAY(K94,2),11-WEEKDAY(K94,2))</f>
        <v>46310</v>
      </c>
      <c r="M94" s="67" t="n">
        <f aca="false">G94</f>
        <v>91.6</v>
      </c>
    </row>
    <row r="95" customFormat="false" ht="12.75" hidden="false" customHeight="true" outlineLevel="0" collapsed="false">
      <c r="A95" s="71"/>
      <c r="B95" s="70" t="s">
        <v>345</v>
      </c>
      <c r="C95" s="71" t="s">
        <v>167</v>
      </c>
      <c r="D95" s="72" t="s">
        <v>119</v>
      </c>
      <c r="E95" s="49" t="s">
        <v>203</v>
      </c>
      <c r="F95" s="66" t="n">
        <f aca="false">$J$22</f>
        <v>46269</v>
      </c>
      <c r="G95" s="74" t="n">
        <f aca="false">ROUND($F$22*$E$7,1)</f>
        <v>113.1</v>
      </c>
      <c r="H95" s="75" t="n">
        <f aca="false">$F$7</f>
        <v>45</v>
      </c>
      <c r="I95" s="68" t="n">
        <f aca="false">F95+H95</f>
        <v>46314</v>
      </c>
      <c r="J95" s="75" t="n">
        <f aca="false">IF(AND($H$7="Y",Assumptions!$B$10=1),Assumptions!$B$51,0)</f>
        <v>0</v>
      </c>
      <c r="K95" s="68" t="n">
        <f aca="false">I95+J95</f>
        <v>46314</v>
      </c>
      <c r="L95" s="77" t="n">
        <f aca="false">K95+IF(WEEKDAY(K95,2)&lt;=4,4-WEEKDAY(K95,2),11-WEEKDAY(K95,2))</f>
        <v>46317</v>
      </c>
      <c r="M95" s="67" t="n">
        <f aca="false">G95</f>
        <v>113.1</v>
      </c>
    </row>
    <row r="96" customFormat="false" ht="12.75" hidden="false" customHeight="true" outlineLevel="0" collapsed="false">
      <c r="A96" s="71"/>
      <c r="B96" s="70" t="s">
        <v>345</v>
      </c>
      <c r="C96" s="71" t="s">
        <v>167</v>
      </c>
      <c r="D96" s="72" t="s">
        <v>119</v>
      </c>
      <c r="E96" s="49" t="s">
        <v>204</v>
      </c>
      <c r="F96" s="66" t="n">
        <f aca="false">$J$23</f>
        <v>46276</v>
      </c>
      <c r="G96" s="74" t="n">
        <f aca="false">ROUND($F$23*$E$7,1)</f>
        <v>118.5</v>
      </c>
      <c r="H96" s="75" t="n">
        <f aca="false">$F$7</f>
        <v>45</v>
      </c>
      <c r="I96" s="68" t="n">
        <f aca="false">F96+H96</f>
        <v>46321</v>
      </c>
      <c r="J96" s="75" t="n">
        <f aca="false">IF(AND($H$7="Y",Assumptions!$B$10=1),Assumptions!$B$51,0)</f>
        <v>0</v>
      </c>
      <c r="K96" s="68" t="n">
        <f aca="false">I96+J96</f>
        <v>46321</v>
      </c>
      <c r="L96" s="77" t="n">
        <f aca="false">K96+IF(WEEKDAY(K96,2)&lt;=4,4-WEEKDAY(K96,2),11-WEEKDAY(K96,2))</f>
        <v>46324</v>
      </c>
      <c r="M96" s="67" t="n">
        <f aca="false">G96</f>
        <v>118.5</v>
      </c>
    </row>
    <row r="97" customFormat="false" ht="12.75" hidden="false" customHeight="true" outlineLevel="0" collapsed="false">
      <c r="A97" s="71"/>
      <c r="B97" s="70" t="s">
        <v>345</v>
      </c>
      <c r="C97" s="71" t="s">
        <v>167</v>
      </c>
      <c r="D97" s="72" t="s">
        <v>119</v>
      </c>
      <c r="E97" s="49" t="s">
        <v>206</v>
      </c>
      <c r="F97" s="66" t="n">
        <f aca="false">$J$24</f>
        <v>46283</v>
      </c>
      <c r="G97" s="74" t="n">
        <f aca="false">ROUND($F$24*$E$7,1)</f>
        <v>118.5</v>
      </c>
      <c r="H97" s="75" t="n">
        <f aca="false">$F$7</f>
        <v>45</v>
      </c>
      <c r="I97" s="68" t="n">
        <f aca="false">F97+H97</f>
        <v>46328</v>
      </c>
      <c r="J97" s="75" t="n">
        <f aca="false">IF(AND($H$7="Y",Assumptions!$B$10=1),Assumptions!$B$51,0)</f>
        <v>0</v>
      </c>
      <c r="K97" s="68" t="n">
        <f aca="false">I97+J97</f>
        <v>46328</v>
      </c>
      <c r="L97" s="77" t="n">
        <f aca="false">K97+IF(WEEKDAY(K97,2)&lt;=4,4-WEEKDAY(K97,2),11-WEEKDAY(K97,2))</f>
        <v>46331</v>
      </c>
      <c r="M97" s="67" t="n">
        <f aca="false">G97</f>
        <v>118.5</v>
      </c>
    </row>
    <row r="98" customFormat="false" ht="12.75" hidden="false" customHeight="true" outlineLevel="0" collapsed="false">
      <c r="A98" s="71"/>
      <c r="B98" s="70" t="s">
        <v>345</v>
      </c>
      <c r="C98" s="71" t="s">
        <v>167</v>
      </c>
      <c r="D98" s="72" t="s">
        <v>119</v>
      </c>
      <c r="E98" s="49" t="s">
        <v>207</v>
      </c>
      <c r="F98" s="66" t="n">
        <f aca="false">$J$25</f>
        <v>46290</v>
      </c>
      <c r="G98" s="74" t="n">
        <f aca="false">ROUND($F$25*$E$7,1)</f>
        <v>116.4</v>
      </c>
      <c r="H98" s="75" t="n">
        <f aca="false">$F$7</f>
        <v>45</v>
      </c>
      <c r="I98" s="68" t="n">
        <f aca="false">F98+H98</f>
        <v>46335</v>
      </c>
      <c r="J98" s="75" t="n">
        <f aca="false">IF(AND($H$7="Y",Assumptions!$B$10=1),Assumptions!$B$51,0)</f>
        <v>0</v>
      </c>
      <c r="K98" s="68" t="n">
        <f aca="false">I98+J98</f>
        <v>46335</v>
      </c>
      <c r="L98" s="77" t="n">
        <f aca="false">K98+IF(WEEKDAY(K98,2)&lt;=4,4-WEEKDAY(K98,2),11-WEEKDAY(K98,2))</f>
        <v>46338</v>
      </c>
      <c r="M98" s="67" t="n">
        <f aca="false">G98</f>
        <v>116.4</v>
      </c>
    </row>
    <row r="99" customFormat="false" ht="12.75" hidden="false" customHeight="true" outlineLevel="0" collapsed="false">
      <c r="A99" s="71"/>
      <c r="B99" s="70" t="s">
        <v>345</v>
      </c>
      <c r="C99" s="71" t="s">
        <v>167</v>
      </c>
      <c r="D99" s="72" t="s">
        <v>119</v>
      </c>
      <c r="E99" s="49" t="s">
        <v>208</v>
      </c>
      <c r="F99" s="66" t="n">
        <f aca="false">$J$26</f>
        <v>46297</v>
      </c>
      <c r="G99" s="74" t="n">
        <f aca="false">ROUND($F$26*$E$7,1)</f>
        <v>113.1</v>
      </c>
      <c r="H99" s="75" t="n">
        <f aca="false">$F$7</f>
        <v>45</v>
      </c>
      <c r="I99" s="68" t="n">
        <f aca="false">F99+H99</f>
        <v>46342</v>
      </c>
      <c r="J99" s="75" t="n">
        <f aca="false">IF(AND($H$7="Y",Assumptions!$B$10=1),Assumptions!$B$51,0)</f>
        <v>0</v>
      </c>
      <c r="K99" s="68" t="n">
        <f aca="false">I99+J99</f>
        <v>46342</v>
      </c>
      <c r="L99" s="77" t="n">
        <f aca="false">K99+IF(WEEKDAY(K99,2)&lt;=4,4-WEEKDAY(K99,2),11-WEEKDAY(K99,2))</f>
        <v>46345</v>
      </c>
      <c r="M99" s="67" t="n">
        <f aca="false">G99</f>
        <v>113.1</v>
      </c>
    </row>
    <row r="100" customFormat="false" ht="12.75" hidden="false" customHeight="true" outlineLevel="0" collapsed="false">
      <c r="A100" s="71"/>
      <c r="B100" s="70" t="s">
        <v>345</v>
      </c>
      <c r="C100" s="71" t="s">
        <v>167</v>
      </c>
      <c r="D100" s="72" t="s">
        <v>119</v>
      </c>
      <c r="E100" s="49" t="s">
        <v>209</v>
      </c>
      <c r="F100" s="66" t="n">
        <f aca="false">$J$27</f>
        <v>46304</v>
      </c>
      <c r="G100" s="74" t="n">
        <f aca="false">ROUND($F$27*$E$7,1)</f>
        <v>113.1</v>
      </c>
      <c r="H100" s="75" t="n">
        <f aca="false">$F$7</f>
        <v>45</v>
      </c>
      <c r="I100" s="68" t="n">
        <f aca="false">F100+H100</f>
        <v>46349</v>
      </c>
      <c r="J100" s="75" t="n">
        <f aca="false">IF(AND($H$7="Y",Assumptions!$B$10=1),Assumptions!$B$51,0)</f>
        <v>0</v>
      </c>
      <c r="K100" s="68" t="n">
        <f aca="false">I100+J100</f>
        <v>46349</v>
      </c>
      <c r="L100" s="77" t="n">
        <f aca="false">K100+IF(WEEKDAY(K100,2)&lt;=4,4-WEEKDAY(K100,2),11-WEEKDAY(K100,2))</f>
        <v>46352</v>
      </c>
      <c r="M100" s="67" t="n">
        <f aca="false">G100</f>
        <v>113.1</v>
      </c>
    </row>
    <row r="101" customFormat="false" ht="12.75" hidden="false" customHeight="true" outlineLevel="0" collapsed="false">
      <c r="A101" s="71"/>
      <c r="B101" s="70" t="s">
        <v>345</v>
      </c>
      <c r="C101" s="71" t="s">
        <v>167</v>
      </c>
      <c r="D101" s="72" t="s">
        <v>119</v>
      </c>
      <c r="E101" s="49" t="s">
        <v>210</v>
      </c>
      <c r="F101" s="66" t="n">
        <f aca="false">$J$28</f>
        <v>46311</v>
      </c>
      <c r="G101" s="74" t="n">
        <f aca="false">ROUND($F$28*$E$7,1)</f>
        <v>109.9</v>
      </c>
      <c r="H101" s="75" t="n">
        <f aca="false">$F$7</f>
        <v>45</v>
      </c>
      <c r="I101" s="68" t="n">
        <f aca="false">F101+H101</f>
        <v>46356</v>
      </c>
      <c r="J101" s="75" t="n">
        <f aca="false">IF(AND($H$7="Y",Assumptions!$B$10=1),Assumptions!$B$51,0)</f>
        <v>0</v>
      </c>
      <c r="K101" s="68" t="n">
        <f aca="false">I101+J101</f>
        <v>46356</v>
      </c>
      <c r="L101" s="77" t="n">
        <f aca="false">K101+IF(WEEKDAY(K101,2)&lt;=4,4-WEEKDAY(K101,2),11-WEEKDAY(K101,2))</f>
        <v>46359</v>
      </c>
      <c r="M101" s="67" t="n">
        <f aca="false">G101</f>
        <v>109.9</v>
      </c>
    </row>
    <row r="102" customFormat="false" ht="12.75" hidden="false" customHeight="true" outlineLevel="0" collapsed="false">
      <c r="A102" s="71"/>
      <c r="B102" s="70" t="s">
        <v>345</v>
      </c>
      <c r="C102" s="71" t="s">
        <v>167</v>
      </c>
      <c r="D102" s="72" t="s">
        <v>119</v>
      </c>
      <c r="E102" s="49" t="s">
        <v>211</v>
      </c>
      <c r="F102" s="66" t="n">
        <f aca="false">$J$29</f>
        <v>46318</v>
      </c>
      <c r="G102" s="74" t="n">
        <f aca="false">ROUND($F$29*$E$7,1)</f>
        <v>107.7</v>
      </c>
      <c r="H102" s="75" t="n">
        <f aca="false">$F$7</f>
        <v>45</v>
      </c>
      <c r="I102" s="68" t="n">
        <f aca="false">F102+H102</f>
        <v>46363</v>
      </c>
      <c r="J102" s="75" t="n">
        <f aca="false">IF(AND($H$7="Y",Assumptions!$B$10=1),Assumptions!$B$51,0)</f>
        <v>0</v>
      </c>
      <c r="K102" s="68" t="n">
        <f aca="false">I102+J102</f>
        <v>46363</v>
      </c>
      <c r="L102" s="77" t="n">
        <f aca="false">K102+IF(WEEKDAY(K102,2)&lt;=4,4-WEEKDAY(K102,2),11-WEEKDAY(K102,2))</f>
        <v>46366</v>
      </c>
      <c r="M102" s="67" t="n">
        <f aca="false">G102</f>
        <v>107.7</v>
      </c>
    </row>
    <row r="103" customFormat="false" ht="12.75" hidden="false" customHeight="true" outlineLevel="0" collapsed="false">
      <c r="A103" s="71"/>
      <c r="B103" s="70" t="s">
        <v>347</v>
      </c>
      <c r="C103" s="71" t="s">
        <v>348</v>
      </c>
      <c r="D103" s="72" t="s">
        <v>119</v>
      </c>
      <c r="E103" s="49" t="s">
        <v>195</v>
      </c>
      <c r="F103" s="66" t="n">
        <f aca="false">$J$17</f>
        <v>46234</v>
      </c>
      <c r="G103" s="74" t="n">
        <f aca="false">ROUND($F$17*$E$8,1)</f>
        <v>61.6</v>
      </c>
      <c r="H103" s="75" t="n">
        <f aca="false">$F$8</f>
        <v>60</v>
      </c>
      <c r="I103" s="68" t="n">
        <f aca="false">F103+H103</f>
        <v>46294</v>
      </c>
      <c r="J103" s="75" t="n">
        <f aca="false">IF(AND($H$8="Y",Assumptions!$B$10=1),Assumptions!$B$51,0)</f>
        <v>0</v>
      </c>
      <c r="K103" s="68" t="n">
        <f aca="false">I103+J103</f>
        <v>46294</v>
      </c>
      <c r="L103" s="77" t="n">
        <f aca="false">K103+IF(WEEKDAY(K103,2)&lt;=4,4-WEEKDAY(K103,2),11-WEEKDAY(K103,2))</f>
        <v>46296</v>
      </c>
      <c r="M103" s="67" t="n">
        <f aca="false">G103</f>
        <v>61.6</v>
      </c>
    </row>
    <row r="104" customFormat="false" ht="12.75" hidden="false" customHeight="true" outlineLevel="0" collapsed="false">
      <c r="A104" s="71"/>
      <c r="B104" s="70" t="s">
        <v>347</v>
      </c>
      <c r="C104" s="71" t="s">
        <v>348</v>
      </c>
      <c r="D104" s="72" t="s">
        <v>119</v>
      </c>
      <c r="E104" s="49" t="s">
        <v>197</v>
      </c>
      <c r="F104" s="66" t="n">
        <f aca="false">$J$18</f>
        <v>46241</v>
      </c>
      <c r="G104" s="74" t="n">
        <f aca="false">ROUND($F$18*$E$8,1)</f>
        <v>62.8</v>
      </c>
      <c r="H104" s="75" t="n">
        <f aca="false">$F$8</f>
        <v>60</v>
      </c>
      <c r="I104" s="68" t="n">
        <f aca="false">F104+H104</f>
        <v>46301</v>
      </c>
      <c r="J104" s="75" t="n">
        <f aca="false">IF(AND($H$8="Y",Assumptions!$B$10=1),Assumptions!$B$51,0)</f>
        <v>0</v>
      </c>
      <c r="K104" s="68" t="n">
        <f aca="false">I104+J104</f>
        <v>46301</v>
      </c>
      <c r="L104" s="77" t="n">
        <f aca="false">K104+IF(WEEKDAY(K104,2)&lt;=4,4-WEEKDAY(K104,2),11-WEEKDAY(K104,2))</f>
        <v>46303</v>
      </c>
      <c r="M104" s="67" t="n">
        <f aca="false">G104</f>
        <v>62.8</v>
      </c>
    </row>
    <row r="105" customFormat="false" ht="12.75" hidden="false" customHeight="true" outlineLevel="0" collapsed="false">
      <c r="A105" s="71"/>
      <c r="B105" s="70" t="s">
        <v>347</v>
      </c>
      <c r="C105" s="71" t="s">
        <v>348</v>
      </c>
      <c r="D105" s="72" t="s">
        <v>119</v>
      </c>
      <c r="E105" s="49" t="s">
        <v>198</v>
      </c>
      <c r="F105" s="66" t="n">
        <f aca="false">$J$19</f>
        <v>46248</v>
      </c>
      <c r="G105" s="74" t="n">
        <f aca="false">ROUND($F$19*$E$8,1)</f>
        <v>12.3</v>
      </c>
      <c r="H105" s="75" t="n">
        <f aca="false">$F$8</f>
        <v>60</v>
      </c>
      <c r="I105" s="68" t="n">
        <f aca="false">F105+H105</f>
        <v>46308</v>
      </c>
      <c r="J105" s="75" t="n">
        <f aca="false">IF(AND($H$8="Y",Assumptions!$B$10=1),Assumptions!$B$51,0)</f>
        <v>0</v>
      </c>
      <c r="K105" s="68" t="n">
        <f aca="false">I105+J105</f>
        <v>46308</v>
      </c>
      <c r="L105" s="77" t="n">
        <f aca="false">K105+IF(WEEKDAY(K105,2)&lt;=4,4-WEEKDAY(K105,2),11-WEEKDAY(K105,2))</f>
        <v>46310</v>
      </c>
      <c r="M105" s="67" t="n">
        <f aca="false">G105</f>
        <v>12.3</v>
      </c>
    </row>
    <row r="106" customFormat="false" ht="12.75" hidden="false" customHeight="true" outlineLevel="0" collapsed="false">
      <c r="A106" s="71"/>
      <c r="B106" s="70" t="s">
        <v>347</v>
      </c>
      <c r="C106" s="71" t="s">
        <v>348</v>
      </c>
      <c r="D106" s="72" t="s">
        <v>119</v>
      </c>
      <c r="E106" s="49" t="s">
        <v>200</v>
      </c>
      <c r="F106" s="66" t="n">
        <f aca="false">$J$20</f>
        <v>46255</v>
      </c>
      <c r="G106" s="74" t="n">
        <f aca="false">ROUND($F$20*$E$8,1)</f>
        <v>12.3</v>
      </c>
      <c r="H106" s="75" t="n">
        <f aca="false">$F$8</f>
        <v>60</v>
      </c>
      <c r="I106" s="68" t="n">
        <f aca="false">F106+H106</f>
        <v>46315</v>
      </c>
      <c r="J106" s="75" t="n">
        <f aca="false">IF(AND($H$8="Y",Assumptions!$B$10=1),Assumptions!$B$51,0)</f>
        <v>0</v>
      </c>
      <c r="K106" s="68" t="n">
        <f aca="false">I106+J106</f>
        <v>46315</v>
      </c>
      <c r="L106" s="77" t="n">
        <f aca="false">K106+IF(WEEKDAY(K106,2)&lt;=4,4-WEEKDAY(K106,2),11-WEEKDAY(K106,2))</f>
        <v>46317</v>
      </c>
      <c r="M106" s="67" t="n">
        <f aca="false">G106</f>
        <v>12.3</v>
      </c>
    </row>
    <row r="107" customFormat="false" ht="12.75" hidden="false" customHeight="true" outlineLevel="0" collapsed="false">
      <c r="A107" s="71"/>
      <c r="B107" s="70" t="s">
        <v>347</v>
      </c>
      <c r="C107" s="71" t="s">
        <v>348</v>
      </c>
      <c r="D107" s="72" t="s">
        <v>119</v>
      </c>
      <c r="E107" s="49" t="s">
        <v>201</v>
      </c>
      <c r="F107" s="66" t="n">
        <f aca="false">$J$21</f>
        <v>46262</v>
      </c>
      <c r="G107" s="74" t="n">
        <f aca="false">ROUND($F$21*$E$8,1)</f>
        <v>52.3</v>
      </c>
      <c r="H107" s="75" t="n">
        <f aca="false">$F$8</f>
        <v>60</v>
      </c>
      <c r="I107" s="68" t="n">
        <f aca="false">F107+H107</f>
        <v>46322</v>
      </c>
      <c r="J107" s="75" t="n">
        <f aca="false">IF(AND($H$8="Y",Assumptions!$B$10=1),Assumptions!$B$51,0)</f>
        <v>0</v>
      </c>
      <c r="K107" s="68" t="n">
        <f aca="false">I107+J107</f>
        <v>46322</v>
      </c>
      <c r="L107" s="77" t="n">
        <f aca="false">K107+IF(WEEKDAY(K107,2)&lt;=4,4-WEEKDAY(K107,2),11-WEEKDAY(K107,2))</f>
        <v>46324</v>
      </c>
      <c r="M107" s="67" t="n">
        <f aca="false">G107</f>
        <v>52.3</v>
      </c>
    </row>
    <row r="108" customFormat="false" ht="12.75" hidden="false" customHeight="true" outlineLevel="0" collapsed="false">
      <c r="A108" s="71"/>
      <c r="B108" s="70" t="s">
        <v>347</v>
      </c>
      <c r="C108" s="71" t="s">
        <v>348</v>
      </c>
      <c r="D108" s="72" t="s">
        <v>119</v>
      </c>
      <c r="E108" s="49" t="s">
        <v>203</v>
      </c>
      <c r="F108" s="66" t="n">
        <f aca="false">$J$22</f>
        <v>46269</v>
      </c>
      <c r="G108" s="74" t="n">
        <f aca="false">ROUND($F$22*$E$8,1)</f>
        <v>64.6</v>
      </c>
      <c r="H108" s="75" t="n">
        <f aca="false">$F$8</f>
        <v>60</v>
      </c>
      <c r="I108" s="68" t="n">
        <f aca="false">F108+H108</f>
        <v>46329</v>
      </c>
      <c r="J108" s="75" t="n">
        <f aca="false">IF(AND($H$8="Y",Assumptions!$B$10=1),Assumptions!$B$51,0)</f>
        <v>0</v>
      </c>
      <c r="K108" s="68" t="n">
        <f aca="false">I108+J108</f>
        <v>46329</v>
      </c>
      <c r="L108" s="77" t="n">
        <f aca="false">K108+IF(WEEKDAY(K108,2)&lt;=4,4-WEEKDAY(K108,2),11-WEEKDAY(K108,2))</f>
        <v>46331</v>
      </c>
      <c r="M108" s="67" t="n">
        <f aca="false">G108</f>
        <v>64.6</v>
      </c>
    </row>
    <row r="109" customFormat="false" ht="12.75" hidden="false" customHeight="true" outlineLevel="0" collapsed="false">
      <c r="A109" s="71"/>
      <c r="B109" s="70" t="s">
        <v>347</v>
      </c>
      <c r="C109" s="71" t="s">
        <v>348</v>
      </c>
      <c r="D109" s="72" t="s">
        <v>119</v>
      </c>
      <c r="E109" s="49" t="s">
        <v>204</v>
      </c>
      <c r="F109" s="66" t="n">
        <f aca="false">$J$23</f>
        <v>46276</v>
      </c>
      <c r="G109" s="74" t="n">
        <f aca="false">ROUND($F$23*$E$8,1)</f>
        <v>67.7</v>
      </c>
      <c r="H109" s="75" t="n">
        <f aca="false">$F$8</f>
        <v>60</v>
      </c>
      <c r="I109" s="68" t="n">
        <f aca="false">F109+H109</f>
        <v>46336</v>
      </c>
      <c r="J109" s="75" t="n">
        <f aca="false">IF(AND($H$8="Y",Assumptions!$B$10=1),Assumptions!$B$51,0)</f>
        <v>0</v>
      </c>
      <c r="K109" s="68" t="n">
        <f aca="false">I109+J109</f>
        <v>46336</v>
      </c>
      <c r="L109" s="77" t="n">
        <f aca="false">K109+IF(WEEKDAY(K109,2)&lt;=4,4-WEEKDAY(K109,2),11-WEEKDAY(K109,2))</f>
        <v>46338</v>
      </c>
      <c r="M109" s="67" t="n">
        <f aca="false">G109</f>
        <v>67.7</v>
      </c>
    </row>
    <row r="110" customFormat="false" ht="12.75" hidden="false" customHeight="true" outlineLevel="0" collapsed="false">
      <c r="A110" s="71"/>
      <c r="B110" s="70" t="s">
        <v>347</v>
      </c>
      <c r="C110" s="71" t="s">
        <v>348</v>
      </c>
      <c r="D110" s="72" t="s">
        <v>119</v>
      </c>
      <c r="E110" s="49" t="s">
        <v>206</v>
      </c>
      <c r="F110" s="66" t="n">
        <f aca="false">$J$24</f>
        <v>46283</v>
      </c>
      <c r="G110" s="74" t="n">
        <f aca="false">ROUND($F$24*$E$8,1)</f>
        <v>67.7</v>
      </c>
      <c r="H110" s="75" t="n">
        <f aca="false">$F$8</f>
        <v>60</v>
      </c>
      <c r="I110" s="68" t="n">
        <f aca="false">F110+H110</f>
        <v>46343</v>
      </c>
      <c r="J110" s="75" t="n">
        <f aca="false">IF(AND($H$8="Y",Assumptions!$B$10=1),Assumptions!$B$51,0)</f>
        <v>0</v>
      </c>
      <c r="K110" s="68" t="n">
        <f aca="false">I110+J110</f>
        <v>46343</v>
      </c>
      <c r="L110" s="77" t="n">
        <f aca="false">K110+IF(WEEKDAY(K110,2)&lt;=4,4-WEEKDAY(K110,2),11-WEEKDAY(K110,2))</f>
        <v>46345</v>
      </c>
      <c r="M110" s="67" t="n">
        <f aca="false">G110</f>
        <v>67.7</v>
      </c>
    </row>
    <row r="111" customFormat="false" ht="12.75" hidden="false" customHeight="true" outlineLevel="0" collapsed="false">
      <c r="A111" s="71"/>
      <c r="B111" s="70" t="s">
        <v>347</v>
      </c>
      <c r="C111" s="71" t="s">
        <v>348</v>
      </c>
      <c r="D111" s="72" t="s">
        <v>119</v>
      </c>
      <c r="E111" s="49" t="s">
        <v>207</v>
      </c>
      <c r="F111" s="66" t="n">
        <f aca="false">$J$25</f>
        <v>46290</v>
      </c>
      <c r="G111" s="74" t="n">
        <f aca="false">ROUND($F$25*$E$8,1)</f>
        <v>66.5</v>
      </c>
      <c r="H111" s="75" t="n">
        <f aca="false">$F$8</f>
        <v>60</v>
      </c>
      <c r="I111" s="68" t="n">
        <f aca="false">F111+H111</f>
        <v>46350</v>
      </c>
      <c r="J111" s="75" t="n">
        <f aca="false">IF(AND($H$8="Y",Assumptions!$B$10=1),Assumptions!$B$51,0)</f>
        <v>0</v>
      </c>
      <c r="K111" s="68" t="n">
        <f aca="false">I111+J111</f>
        <v>46350</v>
      </c>
      <c r="L111" s="77" t="n">
        <f aca="false">K111+IF(WEEKDAY(K111,2)&lt;=4,4-WEEKDAY(K111,2),11-WEEKDAY(K111,2))</f>
        <v>46352</v>
      </c>
      <c r="M111" s="67" t="n">
        <f aca="false">G111</f>
        <v>66.5</v>
      </c>
    </row>
    <row r="112" customFormat="false" ht="12.75" hidden="false" customHeight="true" outlineLevel="0" collapsed="false">
      <c r="A112" s="71"/>
      <c r="B112" s="70" t="s">
        <v>347</v>
      </c>
      <c r="C112" s="71" t="s">
        <v>348</v>
      </c>
      <c r="D112" s="72" t="s">
        <v>119</v>
      </c>
      <c r="E112" s="49" t="s">
        <v>208</v>
      </c>
      <c r="F112" s="66" t="n">
        <f aca="false">$J$26</f>
        <v>46297</v>
      </c>
      <c r="G112" s="74" t="n">
        <f aca="false">ROUND($F$26*$E$8,1)</f>
        <v>64.6</v>
      </c>
      <c r="H112" s="75" t="n">
        <f aca="false">$F$8</f>
        <v>60</v>
      </c>
      <c r="I112" s="68" t="n">
        <f aca="false">F112+H112</f>
        <v>46357</v>
      </c>
      <c r="J112" s="75" t="n">
        <f aca="false">IF(AND($H$8="Y",Assumptions!$B$10=1),Assumptions!$B$51,0)</f>
        <v>0</v>
      </c>
      <c r="K112" s="68" t="n">
        <f aca="false">I112+J112</f>
        <v>46357</v>
      </c>
      <c r="L112" s="77" t="n">
        <f aca="false">K112+IF(WEEKDAY(K112,2)&lt;=4,4-WEEKDAY(K112,2),11-WEEKDAY(K112,2))</f>
        <v>46359</v>
      </c>
      <c r="M112" s="67" t="n">
        <f aca="false">G112</f>
        <v>64.6</v>
      </c>
    </row>
    <row r="113" customFormat="false" ht="12.75" hidden="false" customHeight="true" outlineLevel="0" collapsed="false">
      <c r="A113" s="71"/>
      <c r="B113" s="70" t="s">
        <v>347</v>
      </c>
      <c r="C113" s="71" t="s">
        <v>348</v>
      </c>
      <c r="D113" s="72" t="s">
        <v>119</v>
      </c>
      <c r="E113" s="49" t="s">
        <v>209</v>
      </c>
      <c r="F113" s="66" t="n">
        <f aca="false">$J$27</f>
        <v>46304</v>
      </c>
      <c r="G113" s="74" t="n">
        <f aca="false">ROUND($F$27*$E$8,1)</f>
        <v>64.6</v>
      </c>
      <c r="H113" s="75" t="n">
        <f aca="false">$F$8</f>
        <v>60</v>
      </c>
      <c r="I113" s="68" t="n">
        <f aca="false">F113+H113</f>
        <v>46364</v>
      </c>
      <c r="J113" s="75" t="n">
        <f aca="false">IF(AND($H$8="Y",Assumptions!$B$10=1),Assumptions!$B$51,0)</f>
        <v>0</v>
      </c>
      <c r="K113" s="68" t="n">
        <f aca="false">I113+J113</f>
        <v>46364</v>
      </c>
      <c r="L113" s="77" t="n">
        <f aca="false">K113+IF(WEEKDAY(K113,2)&lt;=4,4-WEEKDAY(K113,2),11-WEEKDAY(K113,2))</f>
        <v>46366</v>
      </c>
      <c r="M113" s="67" t="n">
        <f aca="false">G113</f>
        <v>64.6</v>
      </c>
    </row>
    <row r="114" customFormat="false" ht="12.75" hidden="false" customHeight="true" outlineLevel="0" collapsed="false">
      <c r="A114" s="71"/>
      <c r="B114" s="70" t="s">
        <v>347</v>
      </c>
      <c r="C114" s="71" t="s">
        <v>348</v>
      </c>
      <c r="D114" s="72" t="s">
        <v>119</v>
      </c>
      <c r="E114" s="49" t="s">
        <v>210</v>
      </c>
      <c r="F114" s="66" t="n">
        <f aca="false">$J$28</f>
        <v>46311</v>
      </c>
      <c r="G114" s="74" t="n">
        <f aca="false">ROUND($F$28*$E$8,1)</f>
        <v>62.8</v>
      </c>
      <c r="H114" s="75" t="n">
        <f aca="false">$F$8</f>
        <v>60</v>
      </c>
      <c r="I114" s="68" t="n">
        <f aca="false">F114+H114</f>
        <v>46371</v>
      </c>
      <c r="J114" s="75" t="n">
        <f aca="false">IF(AND($H$8="Y",Assumptions!$B$10=1),Assumptions!$B$51,0)</f>
        <v>0</v>
      </c>
      <c r="K114" s="68" t="n">
        <f aca="false">I114+J114</f>
        <v>46371</v>
      </c>
      <c r="L114" s="77" t="n">
        <f aca="false">K114+IF(WEEKDAY(K114,2)&lt;=4,4-WEEKDAY(K114,2),11-WEEKDAY(K114,2))</f>
        <v>46373</v>
      </c>
      <c r="M114" s="67" t="n">
        <f aca="false">G114</f>
        <v>62.8</v>
      </c>
    </row>
    <row r="115" customFormat="false" ht="12.75" hidden="false" customHeight="true" outlineLevel="0" collapsed="false">
      <c r="A115" s="71"/>
      <c r="B115" s="70" t="s">
        <v>347</v>
      </c>
      <c r="C115" s="71" t="s">
        <v>348</v>
      </c>
      <c r="D115" s="72" t="s">
        <v>119</v>
      </c>
      <c r="E115" s="49" t="s">
        <v>211</v>
      </c>
      <c r="F115" s="66" t="n">
        <f aca="false">$J$29</f>
        <v>46318</v>
      </c>
      <c r="G115" s="74" t="n">
        <f aca="false">ROUND($F$29*$E$8,1)</f>
        <v>61.6</v>
      </c>
      <c r="H115" s="75" t="n">
        <f aca="false">$F$8</f>
        <v>60</v>
      </c>
      <c r="I115" s="68" t="n">
        <f aca="false">F115+H115</f>
        <v>46378</v>
      </c>
      <c r="J115" s="75" t="n">
        <f aca="false">IF(AND($H$8="Y",Assumptions!$B$10=1),Assumptions!$B$51,0)</f>
        <v>0</v>
      </c>
      <c r="K115" s="68" t="n">
        <f aca="false">I115+J115</f>
        <v>46378</v>
      </c>
      <c r="L115" s="77" t="n">
        <f aca="false">K115+IF(WEEKDAY(K115,2)&lt;=4,4-WEEKDAY(K115,2),11-WEEKDAY(K115,2))</f>
        <v>46380</v>
      </c>
      <c r="M115" s="67" t="n">
        <f aca="false">G115</f>
        <v>61.6</v>
      </c>
    </row>
    <row r="116" customFormat="false" ht="12.75" hidden="false" customHeight="true" outlineLevel="0" collapsed="false">
      <c r="A116" s="71"/>
      <c r="B116" s="70" t="s">
        <v>350</v>
      </c>
      <c r="C116" s="71" t="s">
        <v>173</v>
      </c>
      <c r="D116" s="72" t="s">
        <v>120</v>
      </c>
      <c r="E116" s="49" t="s">
        <v>195</v>
      </c>
      <c r="F116" s="66" t="n">
        <f aca="false">$J$17</f>
        <v>46234</v>
      </c>
      <c r="G116" s="74" t="n">
        <f aca="false">ROUND($G$17*$E$9,1)</f>
        <v>24.9</v>
      </c>
      <c r="H116" s="75" t="n">
        <f aca="false">$F$9</f>
        <v>30</v>
      </c>
      <c r="I116" s="68" t="n">
        <f aca="false">F116+H116</f>
        <v>46264</v>
      </c>
      <c r="J116" s="75" t="n">
        <f aca="false">IF(AND($H$9="Y",Assumptions!$B$10=1),Assumptions!$B$51,0)</f>
        <v>0</v>
      </c>
      <c r="K116" s="68" t="n">
        <f aca="false">I116+J116</f>
        <v>46264</v>
      </c>
      <c r="L116" s="77" t="n">
        <f aca="false">K116+IF(WEEKDAY(K116,2)&lt;=4,4-WEEKDAY(K116,2),11-WEEKDAY(K116,2))</f>
        <v>46268</v>
      </c>
      <c r="M116" s="67" t="n">
        <f aca="false">G116</f>
        <v>24.9</v>
      </c>
    </row>
    <row r="117" customFormat="false" ht="12.75" hidden="false" customHeight="true" outlineLevel="0" collapsed="false">
      <c r="A117" s="71"/>
      <c r="B117" s="70" t="s">
        <v>350</v>
      </c>
      <c r="C117" s="71" t="s">
        <v>173</v>
      </c>
      <c r="D117" s="72" t="s">
        <v>120</v>
      </c>
      <c r="E117" s="49" t="s">
        <v>197</v>
      </c>
      <c r="F117" s="66" t="n">
        <f aca="false">$J$18</f>
        <v>46241</v>
      </c>
      <c r="G117" s="74" t="n">
        <f aca="false">ROUND($G$18*$E$9,1)</f>
        <v>25.4</v>
      </c>
      <c r="H117" s="75" t="n">
        <f aca="false">$F$9</f>
        <v>30</v>
      </c>
      <c r="I117" s="68" t="n">
        <f aca="false">F117+H117</f>
        <v>46271</v>
      </c>
      <c r="J117" s="75" t="n">
        <f aca="false">IF(AND($H$9="Y",Assumptions!$B$10=1),Assumptions!$B$51,0)</f>
        <v>0</v>
      </c>
      <c r="K117" s="68" t="n">
        <f aca="false">I117+J117</f>
        <v>46271</v>
      </c>
      <c r="L117" s="77" t="n">
        <f aca="false">K117+IF(WEEKDAY(K117,2)&lt;=4,4-WEEKDAY(K117,2),11-WEEKDAY(K117,2))</f>
        <v>46275</v>
      </c>
      <c r="M117" s="67" t="n">
        <f aca="false">G117</f>
        <v>25.4</v>
      </c>
    </row>
    <row r="118" customFormat="false" ht="12.75" hidden="false" customHeight="true" outlineLevel="0" collapsed="false">
      <c r="A118" s="71"/>
      <c r="B118" s="70" t="s">
        <v>350</v>
      </c>
      <c r="C118" s="71" t="s">
        <v>173</v>
      </c>
      <c r="D118" s="72" t="s">
        <v>120</v>
      </c>
      <c r="E118" s="49" t="s">
        <v>198</v>
      </c>
      <c r="F118" s="66" t="n">
        <f aca="false">$J$19</f>
        <v>46248</v>
      </c>
      <c r="G118" s="74" t="n">
        <f aca="false">ROUND($G$19*$E$9,1)</f>
        <v>5</v>
      </c>
      <c r="H118" s="75" t="n">
        <f aca="false">$F$9</f>
        <v>30</v>
      </c>
      <c r="I118" s="68" t="n">
        <f aca="false">F118+H118</f>
        <v>46278</v>
      </c>
      <c r="J118" s="75" t="n">
        <f aca="false">IF(AND($H$9="Y",Assumptions!$B$10=1),Assumptions!$B$51,0)</f>
        <v>0</v>
      </c>
      <c r="K118" s="68" t="n">
        <f aca="false">I118+J118</f>
        <v>46278</v>
      </c>
      <c r="L118" s="77" t="n">
        <f aca="false">K118+IF(WEEKDAY(K118,2)&lt;=4,4-WEEKDAY(K118,2),11-WEEKDAY(K118,2))</f>
        <v>46282</v>
      </c>
      <c r="M118" s="67" t="n">
        <f aca="false">G118</f>
        <v>5</v>
      </c>
    </row>
    <row r="119" customFormat="false" ht="12.75" hidden="false" customHeight="true" outlineLevel="0" collapsed="false">
      <c r="A119" s="71"/>
      <c r="B119" s="70" t="s">
        <v>350</v>
      </c>
      <c r="C119" s="71" t="s">
        <v>173</v>
      </c>
      <c r="D119" s="72" t="s">
        <v>120</v>
      </c>
      <c r="E119" s="49" t="s">
        <v>200</v>
      </c>
      <c r="F119" s="66" t="n">
        <f aca="false">$J$20</f>
        <v>46255</v>
      </c>
      <c r="G119" s="74" t="n">
        <f aca="false">ROUND($G$20*$E$9,1)</f>
        <v>5</v>
      </c>
      <c r="H119" s="75" t="n">
        <f aca="false">$F$9</f>
        <v>30</v>
      </c>
      <c r="I119" s="68" t="n">
        <f aca="false">F119+H119</f>
        <v>46285</v>
      </c>
      <c r="J119" s="75" t="n">
        <f aca="false">IF(AND($H$9="Y",Assumptions!$B$10=1),Assumptions!$B$51,0)</f>
        <v>0</v>
      </c>
      <c r="K119" s="68" t="n">
        <f aca="false">I119+J119</f>
        <v>46285</v>
      </c>
      <c r="L119" s="77" t="n">
        <f aca="false">K119+IF(WEEKDAY(K119,2)&lt;=4,4-WEEKDAY(K119,2),11-WEEKDAY(K119,2))</f>
        <v>46289</v>
      </c>
      <c r="M119" s="67" t="n">
        <f aca="false">G119</f>
        <v>5</v>
      </c>
    </row>
    <row r="120" customFormat="false" ht="12.75" hidden="false" customHeight="true" outlineLevel="0" collapsed="false">
      <c r="A120" s="71"/>
      <c r="B120" s="70" t="s">
        <v>350</v>
      </c>
      <c r="C120" s="71" t="s">
        <v>173</v>
      </c>
      <c r="D120" s="72" t="s">
        <v>120</v>
      </c>
      <c r="E120" s="49" t="s">
        <v>201</v>
      </c>
      <c r="F120" s="66" t="n">
        <f aca="false">$J$21</f>
        <v>46262</v>
      </c>
      <c r="G120" s="74" t="n">
        <f aca="false">ROUND($G$21*$E$9,1)</f>
        <v>21.1</v>
      </c>
      <c r="H120" s="75" t="n">
        <f aca="false">$F$9</f>
        <v>30</v>
      </c>
      <c r="I120" s="68" t="n">
        <f aca="false">F120+H120</f>
        <v>46292</v>
      </c>
      <c r="J120" s="75" t="n">
        <f aca="false">IF(AND($H$9="Y",Assumptions!$B$10=1),Assumptions!$B$51,0)</f>
        <v>0</v>
      </c>
      <c r="K120" s="68" t="n">
        <f aca="false">I120+J120</f>
        <v>46292</v>
      </c>
      <c r="L120" s="77" t="n">
        <f aca="false">K120+IF(WEEKDAY(K120,2)&lt;=4,4-WEEKDAY(K120,2),11-WEEKDAY(K120,2))</f>
        <v>46296</v>
      </c>
      <c r="M120" s="67" t="n">
        <f aca="false">G120</f>
        <v>21.1</v>
      </c>
    </row>
    <row r="121" customFormat="false" ht="12.75" hidden="false" customHeight="true" outlineLevel="0" collapsed="false">
      <c r="A121" s="71"/>
      <c r="B121" s="70" t="s">
        <v>350</v>
      </c>
      <c r="C121" s="71" t="s">
        <v>173</v>
      </c>
      <c r="D121" s="72" t="s">
        <v>120</v>
      </c>
      <c r="E121" s="49" t="s">
        <v>203</v>
      </c>
      <c r="F121" s="66" t="n">
        <f aca="false">$J$22</f>
        <v>46269</v>
      </c>
      <c r="G121" s="74" t="n">
        <f aca="false">ROUND($G$22*$E$9,1)</f>
        <v>26.2</v>
      </c>
      <c r="H121" s="75" t="n">
        <f aca="false">$F$9</f>
        <v>30</v>
      </c>
      <c r="I121" s="68" t="n">
        <f aca="false">F121+H121</f>
        <v>46299</v>
      </c>
      <c r="J121" s="75" t="n">
        <f aca="false">IF(AND($H$9="Y",Assumptions!$B$10=1),Assumptions!$B$51,0)</f>
        <v>0</v>
      </c>
      <c r="K121" s="68" t="n">
        <f aca="false">I121+J121</f>
        <v>46299</v>
      </c>
      <c r="L121" s="77" t="n">
        <f aca="false">K121+IF(WEEKDAY(K121,2)&lt;=4,4-WEEKDAY(K121,2),11-WEEKDAY(K121,2))</f>
        <v>46303</v>
      </c>
      <c r="M121" s="67" t="n">
        <f aca="false">G121</f>
        <v>26.2</v>
      </c>
    </row>
    <row r="122" customFormat="false" ht="12.75" hidden="false" customHeight="true" outlineLevel="0" collapsed="false">
      <c r="A122" s="71"/>
      <c r="B122" s="70" t="s">
        <v>350</v>
      </c>
      <c r="C122" s="71" t="s">
        <v>173</v>
      </c>
      <c r="D122" s="72" t="s">
        <v>120</v>
      </c>
      <c r="E122" s="49" t="s">
        <v>204</v>
      </c>
      <c r="F122" s="66" t="n">
        <f aca="false">$J$23</f>
        <v>46276</v>
      </c>
      <c r="G122" s="74" t="n">
        <f aca="false">ROUND($G$23*$E$9,1)</f>
        <v>27.4</v>
      </c>
      <c r="H122" s="75" t="n">
        <f aca="false">$F$9</f>
        <v>30</v>
      </c>
      <c r="I122" s="68" t="n">
        <f aca="false">F122+H122</f>
        <v>46306</v>
      </c>
      <c r="J122" s="75" t="n">
        <f aca="false">IF(AND($H$9="Y",Assumptions!$B$10=1),Assumptions!$B$51,0)</f>
        <v>0</v>
      </c>
      <c r="K122" s="68" t="n">
        <f aca="false">I122+J122</f>
        <v>46306</v>
      </c>
      <c r="L122" s="77" t="n">
        <f aca="false">K122+IF(WEEKDAY(K122,2)&lt;=4,4-WEEKDAY(K122,2),11-WEEKDAY(K122,2))</f>
        <v>46310</v>
      </c>
      <c r="M122" s="67" t="n">
        <f aca="false">G122</f>
        <v>27.4</v>
      </c>
    </row>
    <row r="123" customFormat="false" ht="12.75" hidden="false" customHeight="true" outlineLevel="0" collapsed="false">
      <c r="A123" s="71"/>
      <c r="B123" s="70" t="s">
        <v>350</v>
      </c>
      <c r="C123" s="71" t="s">
        <v>173</v>
      </c>
      <c r="D123" s="72" t="s">
        <v>120</v>
      </c>
      <c r="E123" s="49" t="s">
        <v>206</v>
      </c>
      <c r="F123" s="66" t="n">
        <f aca="false">$J$24</f>
        <v>46283</v>
      </c>
      <c r="G123" s="74" t="n">
        <f aca="false">ROUND($G$24*$E$9,1)</f>
        <v>27.4</v>
      </c>
      <c r="H123" s="75" t="n">
        <f aca="false">$F$9</f>
        <v>30</v>
      </c>
      <c r="I123" s="68" t="n">
        <f aca="false">F123+H123</f>
        <v>46313</v>
      </c>
      <c r="J123" s="75" t="n">
        <f aca="false">IF(AND($H$9="Y",Assumptions!$B$10=1),Assumptions!$B$51,0)</f>
        <v>0</v>
      </c>
      <c r="K123" s="68" t="n">
        <f aca="false">I123+J123</f>
        <v>46313</v>
      </c>
      <c r="L123" s="77" t="n">
        <f aca="false">K123+IF(WEEKDAY(K123,2)&lt;=4,4-WEEKDAY(K123,2),11-WEEKDAY(K123,2))</f>
        <v>46317</v>
      </c>
      <c r="M123" s="67" t="n">
        <f aca="false">G123</f>
        <v>27.4</v>
      </c>
    </row>
    <row r="124" customFormat="false" ht="12.75" hidden="false" customHeight="true" outlineLevel="0" collapsed="false">
      <c r="A124" s="71"/>
      <c r="B124" s="70" t="s">
        <v>350</v>
      </c>
      <c r="C124" s="71" t="s">
        <v>173</v>
      </c>
      <c r="D124" s="72" t="s">
        <v>120</v>
      </c>
      <c r="E124" s="49" t="s">
        <v>207</v>
      </c>
      <c r="F124" s="66" t="n">
        <f aca="false">$J$25</f>
        <v>46290</v>
      </c>
      <c r="G124" s="74" t="n">
        <f aca="false">ROUND($G$25*$E$9,1)</f>
        <v>26.9</v>
      </c>
      <c r="H124" s="75" t="n">
        <f aca="false">$F$9</f>
        <v>30</v>
      </c>
      <c r="I124" s="68" t="n">
        <f aca="false">F124+H124</f>
        <v>46320</v>
      </c>
      <c r="J124" s="75" t="n">
        <f aca="false">IF(AND($H$9="Y",Assumptions!$B$10=1),Assumptions!$B$51,0)</f>
        <v>0</v>
      </c>
      <c r="K124" s="68" t="n">
        <f aca="false">I124+J124</f>
        <v>46320</v>
      </c>
      <c r="L124" s="77" t="n">
        <f aca="false">K124+IF(WEEKDAY(K124,2)&lt;=4,4-WEEKDAY(K124,2),11-WEEKDAY(K124,2))</f>
        <v>46324</v>
      </c>
      <c r="M124" s="67" t="n">
        <f aca="false">G124</f>
        <v>26.9</v>
      </c>
    </row>
    <row r="125" customFormat="false" ht="12.75" hidden="false" customHeight="true" outlineLevel="0" collapsed="false">
      <c r="A125" s="71"/>
      <c r="B125" s="70" t="s">
        <v>350</v>
      </c>
      <c r="C125" s="71" t="s">
        <v>173</v>
      </c>
      <c r="D125" s="72" t="s">
        <v>120</v>
      </c>
      <c r="E125" s="49" t="s">
        <v>208</v>
      </c>
      <c r="F125" s="66" t="n">
        <f aca="false">$J$26</f>
        <v>46297</v>
      </c>
      <c r="G125" s="74" t="n">
        <f aca="false">ROUND($G$26*$E$9,1)</f>
        <v>26.2</v>
      </c>
      <c r="H125" s="75" t="n">
        <f aca="false">$F$9</f>
        <v>30</v>
      </c>
      <c r="I125" s="68" t="n">
        <f aca="false">F125+H125</f>
        <v>46327</v>
      </c>
      <c r="J125" s="75" t="n">
        <f aca="false">IF(AND($H$9="Y",Assumptions!$B$10=1),Assumptions!$B$51,0)</f>
        <v>0</v>
      </c>
      <c r="K125" s="68" t="n">
        <f aca="false">I125+J125</f>
        <v>46327</v>
      </c>
      <c r="L125" s="77" t="n">
        <f aca="false">K125+IF(WEEKDAY(K125,2)&lt;=4,4-WEEKDAY(K125,2),11-WEEKDAY(K125,2))</f>
        <v>46331</v>
      </c>
      <c r="M125" s="67" t="n">
        <f aca="false">G125</f>
        <v>26.2</v>
      </c>
    </row>
    <row r="126" customFormat="false" ht="12.75" hidden="false" customHeight="true" outlineLevel="0" collapsed="false">
      <c r="A126" s="71"/>
      <c r="B126" s="70" t="s">
        <v>350</v>
      </c>
      <c r="C126" s="71" t="s">
        <v>173</v>
      </c>
      <c r="D126" s="72" t="s">
        <v>120</v>
      </c>
      <c r="E126" s="49" t="s">
        <v>209</v>
      </c>
      <c r="F126" s="66" t="n">
        <f aca="false">$J$27</f>
        <v>46304</v>
      </c>
      <c r="G126" s="74" t="n">
        <f aca="false">ROUND($G$27*$E$9,1)</f>
        <v>26.2</v>
      </c>
      <c r="H126" s="75" t="n">
        <f aca="false">$F$9</f>
        <v>30</v>
      </c>
      <c r="I126" s="68" t="n">
        <f aca="false">F126+H126</f>
        <v>46334</v>
      </c>
      <c r="J126" s="75" t="n">
        <f aca="false">IF(AND($H$9="Y",Assumptions!$B$10=1),Assumptions!$B$51,0)</f>
        <v>0</v>
      </c>
      <c r="K126" s="68" t="n">
        <f aca="false">I126+J126</f>
        <v>46334</v>
      </c>
      <c r="L126" s="77" t="n">
        <f aca="false">K126+IF(WEEKDAY(K126,2)&lt;=4,4-WEEKDAY(K126,2),11-WEEKDAY(K126,2))</f>
        <v>46338</v>
      </c>
      <c r="M126" s="67" t="n">
        <f aca="false">G126</f>
        <v>26.2</v>
      </c>
    </row>
    <row r="127" customFormat="false" ht="12.75" hidden="false" customHeight="true" outlineLevel="0" collapsed="false">
      <c r="A127" s="71"/>
      <c r="B127" s="70" t="s">
        <v>350</v>
      </c>
      <c r="C127" s="71" t="s">
        <v>173</v>
      </c>
      <c r="D127" s="72" t="s">
        <v>120</v>
      </c>
      <c r="E127" s="49" t="s">
        <v>210</v>
      </c>
      <c r="F127" s="66" t="n">
        <f aca="false">$J$28</f>
        <v>46311</v>
      </c>
      <c r="G127" s="74" t="n">
        <f aca="false">ROUND($G$28*$E$9,1)</f>
        <v>25.4</v>
      </c>
      <c r="H127" s="75" t="n">
        <f aca="false">$F$9</f>
        <v>30</v>
      </c>
      <c r="I127" s="68" t="n">
        <f aca="false">F127+H127</f>
        <v>46341</v>
      </c>
      <c r="J127" s="75" t="n">
        <f aca="false">IF(AND($H$9="Y",Assumptions!$B$10=1),Assumptions!$B$51,0)</f>
        <v>0</v>
      </c>
      <c r="K127" s="68" t="n">
        <f aca="false">I127+J127</f>
        <v>46341</v>
      </c>
      <c r="L127" s="77" t="n">
        <f aca="false">K127+IF(WEEKDAY(K127,2)&lt;=4,4-WEEKDAY(K127,2),11-WEEKDAY(K127,2))</f>
        <v>46345</v>
      </c>
      <c r="M127" s="67" t="n">
        <f aca="false">G127</f>
        <v>25.4</v>
      </c>
    </row>
    <row r="128" customFormat="false" ht="12.75" hidden="false" customHeight="true" outlineLevel="0" collapsed="false">
      <c r="A128" s="71"/>
      <c r="B128" s="70" t="s">
        <v>350</v>
      </c>
      <c r="C128" s="71" t="s">
        <v>173</v>
      </c>
      <c r="D128" s="72" t="s">
        <v>120</v>
      </c>
      <c r="E128" s="49" t="s">
        <v>211</v>
      </c>
      <c r="F128" s="66" t="n">
        <f aca="false">$J$29</f>
        <v>46318</v>
      </c>
      <c r="G128" s="74" t="n">
        <f aca="false">ROUND($G$29*$E$9,1)</f>
        <v>24.9</v>
      </c>
      <c r="H128" s="75" t="n">
        <f aca="false">$F$9</f>
        <v>30</v>
      </c>
      <c r="I128" s="68" t="n">
        <f aca="false">F128+H128</f>
        <v>46348</v>
      </c>
      <c r="J128" s="75" t="n">
        <f aca="false">IF(AND($H$9="Y",Assumptions!$B$10=1),Assumptions!$B$51,0)</f>
        <v>0</v>
      </c>
      <c r="K128" s="68" t="n">
        <f aca="false">I128+J128</f>
        <v>46348</v>
      </c>
      <c r="L128" s="77" t="n">
        <f aca="false">K128+IF(WEEKDAY(K128,2)&lt;=4,4-WEEKDAY(K128,2),11-WEEKDAY(K128,2))</f>
        <v>46352</v>
      </c>
      <c r="M128" s="67" t="n">
        <f aca="false">G128</f>
        <v>24.9</v>
      </c>
    </row>
    <row r="129" customFormat="false" ht="12.75" hidden="false" customHeight="true" outlineLevel="0" collapsed="false">
      <c r="A129" s="71"/>
      <c r="B129" s="70" t="s">
        <v>353</v>
      </c>
      <c r="C129" s="71" t="s">
        <v>173</v>
      </c>
      <c r="D129" s="72" t="s">
        <v>120</v>
      </c>
      <c r="E129" s="49" t="s">
        <v>195</v>
      </c>
      <c r="F129" s="66" t="n">
        <f aca="false">$J$17</f>
        <v>46234</v>
      </c>
      <c r="G129" s="74" t="n">
        <f aca="false">ROUND($G$17*$E$10,1)</f>
        <v>15.3</v>
      </c>
      <c r="H129" s="75" t="n">
        <f aca="false">$F$10</f>
        <v>30</v>
      </c>
      <c r="I129" s="68" t="n">
        <f aca="false">F129+H129</f>
        <v>46264</v>
      </c>
      <c r="J129" s="75" t="n">
        <f aca="false">IF(AND($H$10="Y",Assumptions!$B$10=1),Assumptions!$B$51,0)</f>
        <v>0</v>
      </c>
      <c r="K129" s="68" t="n">
        <f aca="false">I129+J129</f>
        <v>46264</v>
      </c>
      <c r="L129" s="77" t="n">
        <f aca="false">K129+IF(WEEKDAY(K129,2)&lt;=4,4-WEEKDAY(K129,2),11-WEEKDAY(K129,2))</f>
        <v>46268</v>
      </c>
      <c r="M129" s="67" t="n">
        <f aca="false">G129</f>
        <v>15.3</v>
      </c>
    </row>
    <row r="130" customFormat="false" ht="12.75" hidden="false" customHeight="true" outlineLevel="0" collapsed="false">
      <c r="A130" s="71"/>
      <c r="B130" s="70" t="s">
        <v>353</v>
      </c>
      <c r="C130" s="71" t="s">
        <v>173</v>
      </c>
      <c r="D130" s="72" t="s">
        <v>120</v>
      </c>
      <c r="E130" s="49" t="s">
        <v>197</v>
      </c>
      <c r="F130" s="66" t="n">
        <f aca="false">$J$18</f>
        <v>46241</v>
      </c>
      <c r="G130" s="74" t="n">
        <f aca="false">ROUND($G$18*$E$10,1)</f>
        <v>15.6</v>
      </c>
      <c r="H130" s="75" t="n">
        <f aca="false">$F$10</f>
        <v>30</v>
      </c>
      <c r="I130" s="68" t="n">
        <f aca="false">F130+H130</f>
        <v>46271</v>
      </c>
      <c r="J130" s="75" t="n">
        <f aca="false">IF(AND($H$10="Y",Assumptions!$B$10=1),Assumptions!$B$51,0)</f>
        <v>0</v>
      </c>
      <c r="K130" s="68" t="n">
        <f aca="false">I130+J130</f>
        <v>46271</v>
      </c>
      <c r="L130" s="77" t="n">
        <f aca="false">K130+IF(WEEKDAY(K130,2)&lt;=4,4-WEEKDAY(K130,2),11-WEEKDAY(K130,2))</f>
        <v>46275</v>
      </c>
      <c r="M130" s="67" t="n">
        <f aca="false">G130</f>
        <v>15.6</v>
      </c>
    </row>
    <row r="131" customFormat="false" ht="12.75" hidden="false" customHeight="true" outlineLevel="0" collapsed="false">
      <c r="A131" s="71"/>
      <c r="B131" s="70" t="s">
        <v>353</v>
      </c>
      <c r="C131" s="71" t="s">
        <v>173</v>
      </c>
      <c r="D131" s="72" t="s">
        <v>120</v>
      </c>
      <c r="E131" s="49" t="s">
        <v>198</v>
      </c>
      <c r="F131" s="66" t="n">
        <f aca="false">$J$19</f>
        <v>46248</v>
      </c>
      <c r="G131" s="74" t="n">
        <f aca="false">ROUND($G$19*$E$10,1)</f>
        <v>3</v>
      </c>
      <c r="H131" s="75" t="n">
        <f aca="false">$F$10</f>
        <v>30</v>
      </c>
      <c r="I131" s="68" t="n">
        <f aca="false">F131+H131</f>
        <v>46278</v>
      </c>
      <c r="J131" s="75" t="n">
        <f aca="false">IF(AND($H$10="Y",Assumptions!$B$10=1),Assumptions!$B$51,0)</f>
        <v>0</v>
      </c>
      <c r="K131" s="68" t="n">
        <f aca="false">I131+J131</f>
        <v>46278</v>
      </c>
      <c r="L131" s="77" t="n">
        <f aca="false">K131+IF(WEEKDAY(K131,2)&lt;=4,4-WEEKDAY(K131,2),11-WEEKDAY(K131,2))</f>
        <v>46282</v>
      </c>
      <c r="M131" s="67" t="n">
        <f aca="false">G131</f>
        <v>3</v>
      </c>
    </row>
    <row r="132" customFormat="false" ht="12.75" hidden="false" customHeight="true" outlineLevel="0" collapsed="false">
      <c r="A132" s="71"/>
      <c r="B132" s="70" t="s">
        <v>353</v>
      </c>
      <c r="C132" s="71" t="s">
        <v>173</v>
      </c>
      <c r="D132" s="72" t="s">
        <v>120</v>
      </c>
      <c r="E132" s="49" t="s">
        <v>200</v>
      </c>
      <c r="F132" s="66" t="n">
        <f aca="false">$J$20</f>
        <v>46255</v>
      </c>
      <c r="G132" s="74" t="n">
        <f aca="false">ROUND($G$20*$E$10,1)</f>
        <v>3</v>
      </c>
      <c r="H132" s="75" t="n">
        <f aca="false">$F$10</f>
        <v>30</v>
      </c>
      <c r="I132" s="68" t="n">
        <f aca="false">F132+H132</f>
        <v>46285</v>
      </c>
      <c r="J132" s="75" t="n">
        <f aca="false">IF(AND($H$10="Y",Assumptions!$B$10=1),Assumptions!$B$51,0)</f>
        <v>0</v>
      </c>
      <c r="K132" s="68" t="n">
        <f aca="false">I132+J132</f>
        <v>46285</v>
      </c>
      <c r="L132" s="77" t="n">
        <f aca="false">K132+IF(WEEKDAY(K132,2)&lt;=4,4-WEEKDAY(K132,2),11-WEEKDAY(K132,2))</f>
        <v>46289</v>
      </c>
      <c r="M132" s="67" t="n">
        <f aca="false">G132</f>
        <v>3</v>
      </c>
    </row>
    <row r="133" customFormat="false" ht="12.75" hidden="false" customHeight="true" outlineLevel="0" collapsed="false">
      <c r="A133" s="71"/>
      <c r="B133" s="70" t="s">
        <v>353</v>
      </c>
      <c r="C133" s="71" t="s">
        <v>173</v>
      </c>
      <c r="D133" s="72" t="s">
        <v>120</v>
      </c>
      <c r="E133" s="49" t="s">
        <v>201</v>
      </c>
      <c r="F133" s="66" t="n">
        <f aca="false">$J$21</f>
        <v>46262</v>
      </c>
      <c r="G133" s="74" t="n">
        <f aca="false">ROUND($G$21*$E$10,1)</f>
        <v>13</v>
      </c>
      <c r="H133" s="75" t="n">
        <f aca="false">$F$10</f>
        <v>30</v>
      </c>
      <c r="I133" s="68" t="n">
        <f aca="false">F133+H133</f>
        <v>46292</v>
      </c>
      <c r="J133" s="75" t="n">
        <f aca="false">IF(AND($H$10="Y",Assumptions!$B$10=1),Assumptions!$B$51,0)</f>
        <v>0</v>
      </c>
      <c r="K133" s="68" t="n">
        <f aca="false">I133+J133</f>
        <v>46292</v>
      </c>
      <c r="L133" s="77" t="n">
        <f aca="false">K133+IF(WEEKDAY(K133,2)&lt;=4,4-WEEKDAY(K133,2),11-WEEKDAY(K133,2))</f>
        <v>46296</v>
      </c>
      <c r="M133" s="67" t="n">
        <f aca="false">G133</f>
        <v>13</v>
      </c>
    </row>
    <row r="134" customFormat="false" ht="12.75" hidden="false" customHeight="true" outlineLevel="0" collapsed="false">
      <c r="A134" s="71"/>
      <c r="B134" s="70" t="s">
        <v>353</v>
      </c>
      <c r="C134" s="71" t="s">
        <v>173</v>
      </c>
      <c r="D134" s="72" t="s">
        <v>120</v>
      </c>
      <c r="E134" s="49" t="s">
        <v>203</v>
      </c>
      <c r="F134" s="66" t="n">
        <f aca="false">$J$22</f>
        <v>46269</v>
      </c>
      <c r="G134" s="74" t="n">
        <f aca="false">ROUND($G$22*$E$10,1)</f>
        <v>16</v>
      </c>
      <c r="H134" s="75" t="n">
        <f aca="false">$F$10</f>
        <v>30</v>
      </c>
      <c r="I134" s="68" t="n">
        <f aca="false">F134+H134</f>
        <v>46299</v>
      </c>
      <c r="J134" s="75" t="n">
        <f aca="false">IF(AND($H$10="Y",Assumptions!$B$10=1),Assumptions!$B$51,0)</f>
        <v>0</v>
      </c>
      <c r="K134" s="68" t="n">
        <f aca="false">I134+J134</f>
        <v>46299</v>
      </c>
      <c r="L134" s="77" t="n">
        <f aca="false">K134+IF(WEEKDAY(K134,2)&lt;=4,4-WEEKDAY(K134,2),11-WEEKDAY(K134,2))</f>
        <v>46303</v>
      </c>
      <c r="M134" s="67" t="n">
        <f aca="false">G134</f>
        <v>16</v>
      </c>
    </row>
    <row r="135" customFormat="false" ht="12.75" hidden="false" customHeight="true" outlineLevel="0" collapsed="false">
      <c r="A135" s="71"/>
      <c r="B135" s="70" t="s">
        <v>353</v>
      </c>
      <c r="C135" s="71" t="s">
        <v>173</v>
      </c>
      <c r="D135" s="72" t="s">
        <v>120</v>
      </c>
      <c r="E135" s="49" t="s">
        <v>204</v>
      </c>
      <c r="F135" s="66" t="n">
        <f aca="false">$J$23</f>
        <v>46276</v>
      </c>
      <c r="G135" s="74" t="n">
        <f aca="false">ROUND($G$23*$E$10,1)</f>
        <v>16.8</v>
      </c>
      <c r="H135" s="75" t="n">
        <f aca="false">$F$10</f>
        <v>30</v>
      </c>
      <c r="I135" s="68" t="n">
        <f aca="false">F135+H135</f>
        <v>46306</v>
      </c>
      <c r="J135" s="75" t="n">
        <f aca="false">IF(AND($H$10="Y",Assumptions!$B$10=1),Assumptions!$B$51,0)</f>
        <v>0</v>
      </c>
      <c r="K135" s="68" t="n">
        <f aca="false">I135+J135</f>
        <v>46306</v>
      </c>
      <c r="L135" s="77" t="n">
        <f aca="false">K135+IF(WEEKDAY(K135,2)&lt;=4,4-WEEKDAY(K135,2),11-WEEKDAY(K135,2))</f>
        <v>46310</v>
      </c>
      <c r="M135" s="67" t="n">
        <f aca="false">G135</f>
        <v>16.8</v>
      </c>
    </row>
    <row r="136" customFormat="false" ht="12.75" hidden="false" customHeight="true" outlineLevel="0" collapsed="false">
      <c r="A136" s="71"/>
      <c r="B136" s="70" t="s">
        <v>353</v>
      </c>
      <c r="C136" s="71" t="s">
        <v>173</v>
      </c>
      <c r="D136" s="72" t="s">
        <v>120</v>
      </c>
      <c r="E136" s="49" t="s">
        <v>206</v>
      </c>
      <c r="F136" s="66" t="n">
        <f aca="false">$J$24</f>
        <v>46283</v>
      </c>
      <c r="G136" s="74" t="n">
        <f aca="false">ROUND($G$24*$E$10,1)</f>
        <v>16.8</v>
      </c>
      <c r="H136" s="75" t="n">
        <f aca="false">$F$10</f>
        <v>30</v>
      </c>
      <c r="I136" s="68" t="n">
        <f aca="false">F136+H136</f>
        <v>46313</v>
      </c>
      <c r="J136" s="75" t="n">
        <f aca="false">IF(AND($H$10="Y",Assumptions!$B$10=1),Assumptions!$B$51,0)</f>
        <v>0</v>
      </c>
      <c r="K136" s="68" t="n">
        <f aca="false">I136+J136</f>
        <v>46313</v>
      </c>
      <c r="L136" s="77" t="n">
        <f aca="false">K136+IF(WEEKDAY(K136,2)&lt;=4,4-WEEKDAY(K136,2),11-WEEKDAY(K136,2))</f>
        <v>46317</v>
      </c>
      <c r="M136" s="67" t="n">
        <f aca="false">G136</f>
        <v>16.8</v>
      </c>
    </row>
    <row r="137" customFormat="false" ht="12.75" hidden="false" customHeight="true" outlineLevel="0" collapsed="false">
      <c r="A137" s="71"/>
      <c r="B137" s="70" t="s">
        <v>353</v>
      </c>
      <c r="C137" s="71" t="s">
        <v>173</v>
      </c>
      <c r="D137" s="72" t="s">
        <v>120</v>
      </c>
      <c r="E137" s="49" t="s">
        <v>207</v>
      </c>
      <c r="F137" s="66" t="n">
        <f aca="false">$J$25</f>
        <v>46290</v>
      </c>
      <c r="G137" s="74" t="n">
        <f aca="false">ROUND($G$25*$E$10,1)</f>
        <v>16.5</v>
      </c>
      <c r="H137" s="75" t="n">
        <f aca="false">$F$10</f>
        <v>30</v>
      </c>
      <c r="I137" s="68" t="n">
        <f aca="false">F137+H137</f>
        <v>46320</v>
      </c>
      <c r="J137" s="75" t="n">
        <f aca="false">IF(AND($H$10="Y",Assumptions!$B$10=1),Assumptions!$B$51,0)</f>
        <v>0</v>
      </c>
      <c r="K137" s="68" t="n">
        <f aca="false">I137+J137</f>
        <v>46320</v>
      </c>
      <c r="L137" s="77" t="n">
        <f aca="false">K137+IF(WEEKDAY(K137,2)&lt;=4,4-WEEKDAY(K137,2),11-WEEKDAY(K137,2))</f>
        <v>46324</v>
      </c>
      <c r="M137" s="67" t="n">
        <f aca="false">G137</f>
        <v>16.5</v>
      </c>
    </row>
    <row r="138" customFormat="false" ht="12.75" hidden="false" customHeight="true" outlineLevel="0" collapsed="false">
      <c r="A138" s="71"/>
      <c r="B138" s="70" t="s">
        <v>353</v>
      </c>
      <c r="C138" s="71" t="s">
        <v>173</v>
      </c>
      <c r="D138" s="72" t="s">
        <v>120</v>
      </c>
      <c r="E138" s="49" t="s">
        <v>208</v>
      </c>
      <c r="F138" s="66" t="n">
        <f aca="false">$J$26</f>
        <v>46297</v>
      </c>
      <c r="G138" s="74" t="n">
        <f aca="false">ROUND($G$26*$E$10,1)</f>
        <v>16</v>
      </c>
      <c r="H138" s="75" t="n">
        <f aca="false">$F$10</f>
        <v>30</v>
      </c>
      <c r="I138" s="68" t="n">
        <f aca="false">F138+H138</f>
        <v>46327</v>
      </c>
      <c r="J138" s="75" t="n">
        <f aca="false">IF(AND($H$10="Y",Assumptions!$B$10=1),Assumptions!$B$51,0)</f>
        <v>0</v>
      </c>
      <c r="K138" s="68" t="n">
        <f aca="false">I138+J138</f>
        <v>46327</v>
      </c>
      <c r="L138" s="77" t="n">
        <f aca="false">K138+IF(WEEKDAY(K138,2)&lt;=4,4-WEEKDAY(K138,2),11-WEEKDAY(K138,2))</f>
        <v>46331</v>
      </c>
      <c r="M138" s="67" t="n">
        <f aca="false">G138</f>
        <v>16</v>
      </c>
    </row>
    <row r="139" customFormat="false" ht="12.75" hidden="false" customHeight="true" outlineLevel="0" collapsed="false">
      <c r="A139" s="71"/>
      <c r="B139" s="70" t="s">
        <v>353</v>
      </c>
      <c r="C139" s="71" t="s">
        <v>173</v>
      </c>
      <c r="D139" s="72" t="s">
        <v>120</v>
      </c>
      <c r="E139" s="49" t="s">
        <v>209</v>
      </c>
      <c r="F139" s="66" t="n">
        <f aca="false">$J$27</f>
        <v>46304</v>
      </c>
      <c r="G139" s="74" t="n">
        <f aca="false">ROUND($G$27*$E$10,1)</f>
        <v>16</v>
      </c>
      <c r="H139" s="75" t="n">
        <f aca="false">$F$10</f>
        <v>30</v>
      </c>
      <c r="I139" s="68" t="n">
        <f aca="false">F139+H139</f>
        <v>46334</v>
      </c>
      <c r="J139" s="75" t="n">
        <f aca="false">IF(AND($H$10="Y",Assumptions!$B$10=1),Assumptions!$B$51,0)</f>
        <v>0</v>
      </c>
      <c r="K139" s="68" t="n">
        <f aca="false">I139+J139</f>
        <v>46334</v>
      </c>
      <c r="L139" s="77" t="n">
        <f aca="false">K139+IF(WEEKDAY(K139,2)&lt;=4,4-WEEKDAY(K139,2),11-WEEKDAY(K139,2))</f>
        <v>46338</v>
      </c>
      <c r="M139" s="67" t="n">
        <f aca="false">G139</f>
        <v>16</v>
      </c>
    </row>
    <row r="140" customFormat="false" ht="12.75" hidden="false" customHeight="true" outlineLevel="0" collapsed="false">
      <c r="A140" s="71"/>
      <c r="B140" s="70" t="s">
        <v>353</v>
      </c>
      <c r="C140" s="71" t="s">
        <v>173</v>
      </c>
      <c r="D140" s="72" t="s">
        <v>120</v>
      </c>
      <c r="E140" s="49" t="s">
        <v>210</v>
      </c>
      <c r="F140" s="66" t="n">
        <f aca="false">$J$28</f>
        <v>46311</v>
      </c>
      <c r="G140" s="74" t="n">
        <f aca="false">ROUND($G$28*$E$10,1)</f>
        <v>15.6</v>
      </c>
      <c r="H140" s="75" t="n">
        <f aca="false">$F$10</f>
        <v>30</v>
      </c>
      <c r="I140" s="68" t="n">
        <f aca="false">F140+H140</f>
        <v>46341</v>
      </c>
      <c r="J140" s="75" t="n">
        <f aca="false">IF(AND($H$10="Y",Assumptions!$B$10=1),Assumptions!$B$51,0)</f>
        <v>0</v>
      </c>
      <c r="K140" s="68" t="n">
        <f aca="false">I140+J140</f>
        <v>46341</v>
      </c>
      <c r="L140" s="77" t="n">
        <f aca="false">K140+IF(WEEKDAY(K140,2)&lt;=4,4-WEEKDAY(K140,2),11-WEEKDAY(K140,2))</f>
        <v>46345</v>
      </c>
      <c r="M140" s="67" t="n">
        <f aca="false">G140</f>
        <v>15.6</v>
      </c>
    </row>
    <row r="141" customFormat="false" ht="12.75" hidden="false" customHeight="true" outlineLevel="0" collapsed="false">
      <c r="A141" s="71"/>
      <c r="B141" s="70" t="s">
        <v>353</v>
      </c>
      <c r="C141" s="71" t="s">
        <v>173</v>
      </c>
      <c r="D141" s="72" t="s">
        <v>120</v>
      </c>
      <c r="E141" s="49" t="s">
        <v>211</v>
      </c>
      <c r="F141" s="66" t="n">
        <f aca="false">$J$29</f>
        <v>46318</v>
      </c>
      <c r="G141" s="74" t="n">
        <f aca="false">ROUND($G$29*$E$10,1)</f>
        <v>15.3</v>
      </c>
      <c r="H141" s="75" t="n">
        <f aca="false">$F$10</f>
        <v>30</v>
      </c>
      <c r="I141" s="68" t="n">
        <f aca="false">F141+H141</f>
        <v>46348</v>
      </c>
      <c r="J141" s="75" t="n">
        <f aca="false">IF(AND($H$10="Y",Assumptions!$B$10=1),Assumptions!$B$51,0)</f>
        <v>0</v>
      </c>
      <c r="K141" s="68" t="n">
        <f aca="false">I141+J141</f>
        <v>46348</v>
      </c>
      <c r="L141" s="77" t="n">
        <f aca="false">K141+IF(WEEKDAY(K141,2)&lt;=4,4-WEEKDAY(K141,2),11-WEEKDAY(K141,2))</f>
        <v>46352</v>
      </c>
      <c r="M141" s="67" t="n">
        <f aca="false">G141</f>
        <v>15.3</v>
      </c>
    </row>
    <row r="142" customFormat="false" ht="12.75" hidden="false" customHeight="true" outlineLevel="0" collapsed="false">
      <c r="A142" s="71"/>
      <c r="B142" s="70" t="s">
        <v>355</v>
      </c>
      <c r="C142" s="71" t="s">
        <v>167</v>
      </c>
      <c r="D142" s="72" t="s">
        <v>121</v>
      </c>
      <c r="E142" s="49" t="s">
        <v>195</v>
      </c>
      <c r="F142" s="66" t="n">
        <f aca="false">$J$17</f>
        <v>46234</v>
      </c>
      <c r="G142" s="74" t="n">
        <f aca="false">ROUND($H$17*$E$11,1)</f>
        <v>23.2</v>
      </c>
      <c r="H142" s="75" t="n">
        <f aca="false">$F$11</f>
        <v>30</v>
      </c>
      <c r="I142" s="68" t="n">
        <f aca="false">F142+H142</f>
        <v>46264</v>
      </c>
      <c r="J142" s="75" t="n">
        <f aca="false">IF(AND($H$11="Y",Assumptions!$B$10=1),Assumptions!$B$51,0)</f>
        <v>0</v>
      </c>
      <c r="K142" s="68" t="n">
        <f aca="false">I142+J142</f>
        <v>46264</v>
      </c>
      <c r="L142" s="77" t="n">
        <f aca="false">K142+IF(WEEKDAY(K142,2)&lt;=4,4-WEEKDAY(K142,2),11-WEEKDAY(K142,2))</f>
        <v>46268</v>
      </c>
      <c r="M142" s="67" t="n">
        <f aca="false">G142</f>
        <v>23.2</v>
      </c>
    </row>
    <row r="143" customFormat="false" ht="12.75" hidden="false" customHeight="true" outlineLevel="0" collapsed="false">
      <c r="A143" s="71"/>
      <c r="B143" s="70" t="s">
        <v>355</v>
      </c>
      <c r="C143" s="71" t="s">
        <v>167</v>
      </c>
      <c r="D143" s="72" t="s">
        <v>121</v>
      </c>
      <c r="E143" s="49" t="s">
        <v>197</v>
      </c>
      <c r="F143" s="66" t="n">
        <f aca="false">$J$18</f>
        <v>46241</v>
      </c>
      <c r="G143" s="74" t="n">
        <f aca="false">ROUND($H$18*$E$11,1)</f>
        <v>23.6</v>
      </c>
      <c r="H143" s="75" t="n">
        <f aca="false">$F$11</f>
        <v>30</v>
      </c>
      <c r="I143" s="68" t="n">
        <f aca="false">F143+H143</f>
        <v>46271</v>
      </c>
      <c r="J143" s="75" t="n">
        <f aca="false">IF(AND($H$11="Y",Assumptions!$B$10=1),Assumptions!$B$51,0)</f>
        <v>0</v>
      </c>
      <c r="K143" s="68" t="n">
        <f aca="false">I143+J143</f>
        <v>46271</v>
      </c>
      <c r="L143" s="77" t="n">
        <f aca="false">K143+IF(WEEKDAY(K143,2)&lt;=4,4-WEEKDAY(K143,2),11-WEEKDAY(K143,2))</f>
        <v>46275</v>
      </c>
      <c r="M143" s="67" t="n">
        <f aca="false">G143</f>
        <v>23.6</v>
      </c>
    </row>
    <row r="144" customFormat="false" ht="12.75" hidden="false" customHeight="true" outlineLevel="0" collapsed="false">
      <c r="A144" s="71"/>
      <c r="B144" s="70" t="s">
        <v>355</v>
      </c>
      <c r="C144" s="71" t="s">
        <v>167</v>
      </c>
      <c r="D144" s="72" t="s">
        <v>121</v>
      </c>
      <c r="E144" s="49" t="s">
        <v>198</v>
      </c>
      <c r="F144" s="66" t="n">
        <f aca="false">$J$19</f>
        <v>46248</v>
      </c>
      <c r="G144" s="74" t="n">
        <f aca="false">ROUND($H$19*$E$11,1)</f>
        <v>4.7</v>
      </c>
      <c r="H144" s="75" t="n">
        <f aca="false">$F$11</f>
        <v>30</v>
      </c>
      <c r="I144" s="68" t="n">
        <f aca="false">F144+H144</f>
        <v>46278</v>
      </c>
      <c r="J144" s="75" t="n">
        <f aca="false">IF(AND($H$11="Y",Assumptions!$B$10=1),Assumptions!$B$51,0)</f>
        <v>0</v>
      </c>
      <c r="K144" s="68" t="n">
        <f aca="false">I144+J144</f>
        <v>46278</v>
      </c>
      <c r="L144" s="77" t="n">
        <f aca="false">K144+IF(WEEKDAY(K144,2)&lt;=4,4-WEEKDAY(K144,2),11-WEEKDAY(K144,2))</f>
        <v>46282</v>
      </c>
      <c r="M144" s="67" t="n">
        <f aca="false">G144</f>
        <v>4.7</v>
      </c>
    </row>
    <row r="145" customFormat="false" ht="12.75" hidden="false" customHeight="true" outlineLevel="0" collapsed="false">
      <c r="A145" s="71"/>
      <c r="B145" s="70" t="s">
        <v>355</v>
      </c>
      <c r="C145" s="71" t="s">
        <v>167</v>
      </c>
      <c r="D145" s="72" t="s">
        <v>121</v>
      </c>
      <c r="E145" s="49" t="s">
        <v>200</v>
      </c>
      <c r="F145" s="66" t="n">
        <f aca="false">$J$20</f>
        <v>46255</v>
      </c>
      <c r="G145" s="74" t="n">
        <f aca="false">ROUND($H$20*$E$11,1)</f>
        <v>4.7</v>
      </c>
      <c r="H145" s="75" t="n">
        <f aca="false">$F$11</f>
        <v>30</v>
      </c>
      <c r="I145" s="68" t="n">
        <f aca="false">F145+H145</f>
        <v>46285</v>
      </c>
      <c r="J145" s="75" t="n">
        <f aca="false">IF(AND($H$11="Y",Assumptions!$B$10=1),Assumptions!$B$51,0)</f>
        <v>0</v>
      </c>
      <c r="K145" s="68" t="n">
        <f aca="false">I145+J145</f>
        <v>46285</v>
      </c>
      <c r="L145" s="77" t="n">
        <f aca="false">K145+IF(WEEKDAY(K145,2)&lt;=4,4-WEEKDAY(K145,2),11-WEEKDAY(K145,2))</f>
        <v>46289</v>
      </c>
      <c r="M145" s="67" t="n">
        <f aca="false">G145</f>
        <v>4.7</v>
      </c>
    </row>
    <row r="146" customFormat="false" ht="12.75" hidden="false" customHeight="true" outlineLevel="0" collapsed="false">
      <c r="A146" s="71"/>
      <c r="B146" s="70" t="s">
        <v>355</v>
      </c>
      <c r="C146" s="71" t="s">
        <v>167</v>
      </c>
      <c r="D146" s="72" t="s">
        <v>121</v>
      </c>
      <c r="E146" s="49" t="s">
        <v>201</v>
      </c>
      <c r="F146" s="66" t="n">
        <f aca="false">$J$21</f>
        <v>46262</v>
      </c>
      <c r="G146" s="74" t="n">
        <f aca="false">ROUND($H$21*$E$11,1)</f>
        <v>19.7</v>
      </c>
      <c r="H146" s="75" t="n">
        <f aca="false">$F$11</f>
        <v>30</v>
      </c>
      <c r="I146" s="68" t="n">
        <f aca="false">F146+H146</f>
        <v>46292</v>
      </c>
      <c r="J146" s="75" t="n">
        <f aca="false">IF(AND($H$11="Y",Assumptions!$B$10=1),Assumptions!$B$51,0)</f>
        <v>0</v>
      </c>
      <c r="K146" s="68" t="n">
        <f aca="false">I146+J146</f>
        <v>46292</v>
      </c>
      <c r="L146" s="77" t="n">
        <f aca="false">K146+IF(WEEKDAY(K146,2)&lt;=4,4-WEEKDAY(K146,2),11-WEEKDAY(K146,2))</f>
        <v>46296</v>
      </c>
      <c r="M146" s="67" t="n">
        <f aca="false">G146</f>
        <v>19.7</v>
      </c>
    </row>
    <row r="147" customFormat="false" ht="12.75" hidden="false" customHeight="true" outlineLevel="0" collapsed="false">
      <c r="A147" s="71"/>
      <c r="B147" s="70" t="s">
        <v>355</v>
      </c>
      <c r="C147" s="71" t="s">
        <v>167</v>
      </c>
      <c r="D147" s="72" t="s">
        <v>121</v>
      </c>
      <c r="E147" s="49" t="s">
        <v>203</v>
      </c>
      <c r="F147" s="66" t="n">
        <f aca="false">$J$22</f>
        <v>46269</v>
      </c>
      <c r="G147" s="74" t="n">
        <f aca="false">ROUND($H$22*$E$11,1)</f>
        <v>24.3</v>
      </c>
      <c r="H147" s="75" t="n">
        <f aca="false">$F$11</f>
        <v>30</v>
      </c>
      <c r="I147" s="68" t="n">
        <f aca="false">F147+H147</f>
        <v>46299</v>
      </c>
      <c r="J147" s="75" t="n">
        <f aca="false">IF(AND($H$11="Y",Assumptions!$B$10=1),Assumptions!$B$51,0)</f>
        <v>0</v>
      </c>
      <c r="K147" s="68" t="n">
        <f aca="false">I147+J147</f>
        <v>46299</v>
      </c>
      <c r="L147" s="77" t="n">
        <f aca="false">K147+IF(WEEKDAY(K147,2)&lt;=4,4-WEEKDAY(K147,2),11-WEEKDAY(K147,2))</f>
        <v>46303</v>
      </c>
      <c r="M147" s="67" t="n">
        <f aca="false">G147</f>
        <v>24.3</v>
      </c>
    </row>
    <row r="148" customFormat="false" ht="12.75" hidden="false" customHeight="true" outlineLevel="0" collapsed="false">
      <c r="A148" s="71"/>
      <c r="B148" s="70" t="s">
        <v>355</v>
      </c>
      <c r="C148" s="71" t="s">
        <v>167</v>
      </c>
      <c r="D148" s="72" t="s">
        <v>121</v>
      </c>
      <c r="E148" s="49" t="s">
        <v>204</v>
      </c>
      <c r="F148" s="66" t="n">
        <f aca="false">$J$23</f>
        <v>46276</v>
      </c>
      <c r="G148" s="74" t="n">
        <f aca="false">ROUND($H$23*$E$11,1)</f>
        <v>25.5</v>
      </c>
      <c r="H148" s="75" t="n">
        <f aca="false">$F$11</f>
        <v>30</v>
      </c>
      <c r="I148" s="68" t="n">
        <f aca="false">F148+H148</f>
        <v>46306</v>
      </c>
      <c r="J148" s="75" t="n">
        <f aca="false">IF(AND($H$11="Y",Assumptions!$B$10=1),Assumptions!$B$51,0)</f>
        <v>0</v>
      </c>
      <c r="K148" s="68" t="n">
        <f aca="false">I148+J148</f>
        <v>46306</v>
      </c>
      <c r="L148" s="77" t="n">
        <f aca="false">K148+IF(WEEKDAY(K148,2)&lt;=4,4-WEEKDAY(K148,2),11-WEEKDAY(K148,2))</f>
        <v>46310</v>
      </c>
      <c r="M148" s="67" t="n">
        <f aca="false">G148</f>
        <v>25.5</v>
      </c>
    </row>
    <row r="149" customFormat="false" ht="12.75" hidden="false" customHeight="true" outlineLevel="0" collapsed="false">
      <c r="A149" s="71"/>
      <c r="B149" s="70" t="s">
        <v>355</v>
      </c>
      <c r="C149" s="71" t="s">
        <v>167</v>
      </c>
      <c r="D149" s="72" t="s">
        <v>121</v>
      </c>
      <c r="E149" s="49" t="s">
        <v>206</v>
      </c>
      <c r="F149" s="66" t="n">
        <f aca="false">$J$24</f>
        <v>46283</v>
      </c>
      <c r="G149" s="74" t="n">
        <f aca="false">ROUND($H$24*$E$11,1)</f>
        <v>25.5</v>
      </c>
      <c r="H149" s="75" t="n">
        <f aca="false">$F$11</f>
        <v>30</v>
      </c>
      <c r="I149" s="68" t="n">
        <f aca="false">F149+H149</f>
        <v>46313</v>
      </c>
      <c r="J149" s="75" t="n">
        <f aca="false">IF(AND($H$11="Y",Assumptions!$B$10=1),Assumptions!$B$51,0)</f>
        <v>0</v>
      </c>
      <c r="K149" s="68" t="n">
        <f aca="false">I149+J149</f>
        <v>46313</v>
      </c>
      <c r="L149" s="77" t="n">
        <f aca="false">K149+IF(WEEKDAY(K149,2)&lt;=4,4-WEEKDAY(K149,2),11-WEEKDAY(K149,2))</f>
        <v>46317</v>
      </c>
      <c r="M149" s="67" t="n">
        <f aca="false">G149</f>
        <v>25.5</v>
      </c>
    </row>
    <row r="150" customFormat="false" ht="12.75" hidden="false" customHeight="true" outlineLevel="0" collapsed="false">
      <c r="A150" s="71"/>
      <c r="B150" s="70" t="s">
        <v>355</v>
      </c>
      <c r="C150" s="71" t="s">
        <v>167</v>
      </c>
      <c r="D150" s="72" t="s">
        <v>121</v>
      </c>
      <c r="E150" s="49" t="s">
        <v>207</v>
      </c>
      <c r="F150" s="66" t="n">
        <f aca="false">$J$25</f>
        <v>46290</v>
      </c>
      <c r="G150" s="74" t="n">
        <f aca="false">ROUND($H$25*$E$11,1)</f>
        <v>25.1</v>
      </c>
      <c r="H150" s="75" t="n">
        <f aca="false">$F$11</f>
        <v>30</v>
      </c>
      <c r="I150" s="68" t="n">
        <f aca="false">F150+H150</f>
        <v>46320</v>
      </c>
      <c r="J150" s="75" t="n">
        <f aca="false">IF(AND($H$11="Y",Assumptions!$B$10=1),Assumptions!$B$51,0)</f>
        <v>0</v>
      </c>
      <c r="K150" s="68" t="n">
        <f aca="false">I150+J150</f>
        <v>46320</v>
      </c>
      <c r="L150" s="77" t="n">
        <f aca="false">K150+IF(WEEKDAY(K150,2)&lt;=4,4-WEEKDAY(K150,2),11-WEEKDAY(K150,2))</f>
        <v>46324</v>
      </c>
      <c r="M150" s="67" t="n">
        <f aca="false">G150</f>
        <v>25.1</v>
      </c>
    </row>
    <row r="151" customFormat="false" ht="12.75" hidden="false" customHeight="true" outlineLevel="0" collapsed="false">
      <c r="A151" s="71"/>
      <c r="B151" s="70" t="s">
        <v>355</v>
      </c>
      <c r="C151" s="71" t="s">
        <v>167</v>
      </c>
      <c r="D151" s="72" t="s">
        <v>121</v>
      </c>
      <c r="E151" s="49" t="s">
        <v>208</v>
      </c>
      <c r="F151" s="66" t="n">
        <f aca="false">$J$26</f>
        <v>46297</v>
      </c>
      <c r="G151" s="74" t="n">
        <f aca="false">ROUND($H$26*$E$11,1)</f>
        <v>24.3</v>
      </c>
      <c r="H151" s="75" t="n">
        <f aca="false">$F$11</f>
        <v>30</v>
      </c>
      <c r="I151" s="68" t="n">
        <f aca="false">F151+H151</f>
        <v>46327</v>
      </c>
      <c r="J151" s="75" t="n">
        <f aca="false">IF(AND($H$11="Y",Assumptions!$B$10=1),Assumptions!$B$51,0)</f>
        <v>0</v>
      </c>
      <c r="K151" s="68" t="n">
        <f aca="false">I151+J151</f>
        <v>46327</v>
      </c>
      <c r="L151" s="77" t="n">
        <f aca="false">K151+IF(WEEKDAY(K151,2)&lt;=4,4-WEEKDAY(K151,2),11-WEEKDAY(K151,2))</f>
        <v>46331</v>
      </c>
      <c r="M151" s="67" t="n">
        <f aca="false">G151</f>
        <v>24.3</v>
      </c>
    </row>
    <row r="152" customFormat="false" ht="12.75" hidden="false" customHeight="true" outlineLevel="0" collapsed="false">
      <c r="A152" s="71"/>
      <c r="B152" s="70" t="s">
        <v>355</v>
      </c>
      <c r="C152" s="71" t="s">
        <v>167</v>
      </c>
      <c r="D152" s="72" t="s">
        <v>121</v>
      </c>
      <c r="E152" s="49" t="s">
        <v>209</v>
      </c>
      <c r="F152" s="66" t="n">
        <f aca="false">$J$27</f>
        <v>46304</v>
      </c>
      <c r="G152" s="74" t="n">
        <f aca="false">ROUND($H$27*$E$11,1)</f>
        <v>24.3</v>
      </c>
      <c r="H152" s="75" t="n">
        <f aca="false">$F$11</f>
        <v>30</v>
      </c>
      <c r="I152" s="68" t="n">
        <f aca="false">F152+H152</f>
        <v>46334</v>
      </c>
      <c r="J152" s="75" t="n">
        <f aca="false">IF(AND($H$11="Y",Assumptions!$B$10=1),Assumptions!$B$51,0)</f>
        <v>0</v>
      </c>
      <c r="K152" s="68" t="n">
        <f aca="false">I152+J152</f>
        <v>46334</v>
      </c>
      <c r="L152" s="77" t="n">
        <f aca="false">K152+IF(WEEKDAY(K152,2)&lt;=4,4-WEEKDAY(K152,2),11-WEEKDAY(K152,2))</f>
        <v>46338</v>
      </c>
      <c r="M152" s="67" t="n">
        <f aca="false">G152</f>
        <v>24.3</v>
      </c>
    </row>
    <row r="153" customFormat="false" ht="12.75" hidden="false" customHeight="true" outlineLevel="0" collapsed="false">
      <c r="A153" s="71"/>
      <c r="B153" s="70" t="s">
        <v>355</v>
      </c>
      <c r="C153" s="71" t="s">
        <v>167</v>
      </c>
      <c r="D153" s="72" t="s">
        <v>121</v>
      </c>
      <c r="E153" s="49" t="s">
        <v>210</v>
      </c>
      <c r="F153" s="66" t="n">
        <f aca="false">$J$28</f>
        <v>46311</v>
      </c>
      <c r="G153" s="74" t="n">
        <f aca="false">ROUND($H$28*$E$11,1)</f>
        <v>23.6</v>
      </c>
      <c r="H153" s="75" t="n">
        <f aca="false">$F$11</f>
        <v>30</v>
      </c>
      <c r="I153" s="68" t="n">
        <f aca="false">F153+H153</f>
        <v>46341</v>
      </c>
      <c r="J153" s="75" t="n">
        <f aca="false">IF(AND($H$11="Y",Assumptions!$B$10=1),Assumptions!$B$51,0)</f>
        <v>0</v>
      </c>
      <c r="K153" s="68" t="n">
        <f aca="false">I153+J153</f>
        <v>46341</v>
      </c>
      <c r="L153" s="77" t="n">
        <f aca="false">K153+IF(WEEKDAY(K153,2)&lt;=4,4-WEEKDAY(K153,2),11-WEEKDAY(K153,2))</f>
        <v>46345</v>
      </c>
      <c r="M153" s="67" t="n">
        <f aca="false">G153</f>
        <v>23.6</v>
      </c>
    </row>
    <row r="154" customFormat="false" ht="12.75" hidden="false" customHeight="true" outlineLevel="0" collapsed="false">
      <c r="A154" s="71"/>
      <c r="B154" s="70" t="s">
        <v>355</v>
      </c>
      <c r="C154" s="71" t="s">
        <v>167</v>
      </c>
      <c r="D154" s="72" t="s">
        <v>121</v>
      </c>
      <c r="E154" s="49" t="s">
        <v>211</v>
      </c>
      <c r="F154" s="66" t="n">
        <f aca="false">$J$29</f>
        <v>46318</v>
      </c>
      <c r="G154" s="74" t="n">
        <f aca="false">ROUND($H$29*$E$11,1)</f>
        <v>23.2</v>
      </c>
      <c r="H154" s="75" t="n">
        <f aca="false">$F$11</f>
        <v>30</v>
      </c>
      <c r="I154" s="68" t="n">
        <f aca="false">F154+H154</f>
        <v>46348</v>
      </c>
      <c r="J154" s="75" t="n">
        <f aca="false">IF(AND($H$11="Y",Assumptions!$B$10=1),Assumptions!$B$51,0)</f>
        <v>0</v>
      </c>
      <c r="K154" s="68" t="n">
        <f aca="false">I154+J154</f>
        <v>46348</v>
      </c>
      <c r="L154" s="77" t="n">
        <f aca="false">K154+IF(WEEKDAY(K154,2)&lt;=4,4-WEEKDAY(K154,2),11-WEEKDAY(K154,2))</f>
        <v>46352</v>
      </c>
      <c r="M154" s="67" t="n">
        <f aca="false">G154</f>
        <v>23.2</v>
      </c>
    </row>
    <row r="155" customFormat="false" ht="12.75" hidden="false" customHeight="true" outlineLevel="0" collapsed="false">
      <c r="A155" s="71"/>
      <c r="B155" s="70" t="s">
        <v>357</v>
      </c>
      <c r="C155" s="71" t="s">
        <v>176</v>
      </c>
      <c r="D155" s="72" t="s">
        <v>121</v>
      </c>
      <c r="E155" s="49" t="s">
        <v>195</v>
      </c>
      <c r="F155" s="66" t="n">
        <f aca="false">$J$17</f>
        <v>46234</v>
      </c>
      <c r="G155" s="74" t="n">
        <f aca="false">ROUND($H$17*$E$12,1)</f>
        <v>13.6</v>
      </c>
      <c r="H155" s="75" t="n">
        <f aca="false">$F$12</f>
        <v>30</v>
      </c>
      <c r="I155" s="68" t="n">
        <f aca="false">F155+H155</f>
        <v>46264</v>
      </c>
      <c r="J155" s="75" t="n">
        <f aca="false">IF(AND($H$12="Y",Assumptions!$B$10=1),Assumptions!$B$51,0)</f>
        <v>0</v>
      </c>
      <c r="K155" s="68" t="n">
        <f aca="false">I155+J155</f>
        <v>46264</v>
      </c>
      <c r="L155" s="77" t="n">
        <f aca="false">K155+IF(WEEKDAY(K155,2)&lt;=4,4-WEEKDAY(K155,2),11-WEEKDAY(K155,2))</f>
        <v>46268</v>
      </c>
      <c r="M155" s="67" t="n">
        <f aca="false">G155</f>
        <v>13.6</v>
      </c>
    </row>
    <row r="156" customFormat="false" ht="12.75" hidden="false" customHeight="true" outlineLevel="0" collapsed="false">
      <c r="A156" s="71"/>
      <c r="B156" s="70" t="s">
        <v>357</v>
      </c>
      <c r="C156" s="71" t="s">
        <v>176</v>
      </c>
      <c r="D156" s="72" t="s">
        <v>121</v>
      </c>
      <c r="E156" s="49" t="s">
        <v>197</v>
      </c>
      <c r="F156" s="66" t="n">
        <f aca="false">$J$18</f>
        <v>46241</v>
      </c>
      <c r="G156" s="74" t="n">
        <f aca="false">ROUND($H$18*$E$12,1)</f>
        <v>13.9</v>
      </c>
      <c r="H156" s="75" t="n">
        <f aca="false">$F$12</f>
        <v>30</v>
      </c>
      <c r="I156" s="68" t="n">
        <f aca="false">F156+H156</f>
        <v>46271</v>
      </c>
      <c r="J156" s="75" t="n">
        <f aca="false">IF(AND($H$12="Y",Assumptions!$B$10=1),Assumptions!$B$51,0)</f>
        <v>0</v>
      </c>
      <c r="K156" s="68" t="n">
        <f aca="false">I156+J156</f>
        <v>46271</v>
      </c>
      <c r="L156" s="77" t="n">
        <f aca="false">K156+IF(WEEKDAY(K156,2)&lt;=4,4-WEEKDAY(K156,2),11-WEEKDAY(K156,2))</f>
        <v>46275</v>
      </c>
      <c r="M156" s="67" t="n">
        <f aca="false">G156</f>
        <v>13.9</v>
      </c>
    </row>
    <row r="157" customFormat="false" ht="12.75" hidden="false" customHeight="true" outlineLevel="0" collapsed="false">
      <c r="A157" s="71"/>
      <c r="B157" s="70" t="s">
        <v>357</v>
      </c>
      <c r="C157" s="71" t="s">
        <v>176</v>
      </c>
      <c r="D157" s="72" t="s">
        <v>121</v>
      </c>
      <c r="E157" s="49" t="s">
        <v>198</v>
      </c>
      <c r="F157" s="66" t="n">
        <f aca="false">$J$19</f>
        <v>46248</v>
      </c>
      <c r="G157" s="74" t="n">
        <f aca="false">ROUND($H$19*$E$12,1)</f>
        <v>2.7</v>
      </c>
      <c r="H157" s="75" t="n">
        <f aca="false">$F$12</f>
        <v>30</v>
      </c>
      <c r="I157" s="68" t="n">
        <f aca="false">F157+H157</f>
        <v>46278</v>
      </c>
      <c r="J157" s="75" t="n">
        <f aca="false">IF(AND($H$12="Y",Assumptions!$B$10=1),Assumptions!$B$51,0)</f>
        <v>0</v>
      </c>
      <c r="K157" s="68" t="n">
        <f aca="false">I157+J157</f>
        <v>46278</v>
      </c>
      <c r="L157" s="77" t="n">
        <f aca="false">K157+IF(WEEKDAY(K157,2)&lt;=4,4-WEEKDAY(K157,2),11-WEEKDAY(K157,2))</f>
        <v>46282</v>
      </c>
      <c r="M157" s="67" t="n">
        <f aca="false">G157</f>
        <v>2.7</v>
      </c>
    </row>
    <row r="158" customFormat="false" ht="12.75" hidden="false" customHeight="true" outlineLevel="0" collapsed="false">
      <c r="A158" s="71"/>
      <c r="B158" s="70" t="s">
        <v>357</v>
      </c>
      <c r="C158" s="71" t="s">
        <v>176</v>
      </c>
      <c r="D158" s="72" t="s">
        <v>121</v>
      </c>
      <c r="E158" s="49" t="s">
        <v>200</v>
      </c>
      <c r="F158" s="66" t="n">
        <f aca="false">$J$20</f>
        <v>46255</v>
      </c>
      <c r="G158" s="74" t="n">
        <f aca="false">ROUND($H$20*$E$12,1)</f>
        <v>2.7</v>
      </c>
      <c r="H158" s="75" t="n">
        <f aca="false">$F$12</f>
        <v>30</v>
      </c>
      <c r="I158" s="68" t="n">
        <f aca="false">F158+H158</f>
        <v>46285</v>
      </c>
      <c r="J158" s="75" t="n">
        <f aca="false">IF(AND($H$12="Y",Assumptions!$B$10=1),Assumptions!$B$51,0)</f>
        <v>0</v>
      </c>
      <c r="K158" s="68" t="n">
        <f aca="false">I158+J158</f>
        <v>46285</v>
      </c>
      <c r="L158" s="77" t="n">
        <f aca="false">K158+IF(WEEKDAY(K158,2)&lt;=4,4-WEEKDAY(K158,2),11-WEEKDAY(K158,2))</f>
        <v>46289</v>
      </c>
      <c r="M158" s="67" t="n">
        <f aca="false">G158</f>
        <v>2.7</v>
      </c>
    </row>
    <row r="159" customFormat="false" ht="12.75" hidden="false" customHeight="true" outlineLevel="0" collapsed="false">
      <c r="A159" s="71"/>
      <c r="B159" s="70" t="s">
        <v>357</v>
      </c>
      <c r="C159" s="71" t="s">
        <v>176</v>
      </c>
      <c r="D159" s="72" t="s">
        <v>121</v>
      </c>
      <c r="E159" s="49" t="s">
        <v>201</v>
      </c>
      <c r="F159" s="66" t="n">
        <f aca="false">$J$21</f>
        <v>46262</v>
      </c>
      <c r="G159" s="74" t="n">
        <f aca="false">ROUND($H$21*$E$12,1)</f>
        <v>11.6</v>
      </c>
      <c r="H159" s="75" t="n">
        <f aca="false">$F$12</f>
        <v>30</v>
      </c>
      <c r="I159" s="68" t="n">
        <f aca="false">F159+H159</f>
        <v>46292</v>
      </c>
      <c r="J159" s="75" t="n">
        <f aca="false">IF(AND($H$12="Y",Assumptions!$B$10=1),Assumptions!$B$51,0)</f>
        <v>0</v>
      </c>
      <c r="K159" s="68" t="n">
        <f aca="false">I159+J159</f>
        <v>46292</v>
      </c>
      <c r="L159" s="77" t="n">
        <f aca="false">K159+IF(WEEKDAY(K159,2)&lt;=4,4-WEEKDAY(K159,2),11-WEEKDAY(K159,2))</f>
        <v>46296</v>
      </c>
      <c r="M159" s="67" t="n">
        <f aca="false">G159</f>
        <v>11.6</v>
      </c>
    </row>
    <row r="160" customFormat="false" ht="12.75" hidden="false" customHeight="true" outlineLevel="0" collapsed="false">
      <c r="A160" s="71"/>
      <c r="B160" s="70" t="s">
        <v>357</v>
      </c>
      <c r="C160" s="71" t="s">
        <v>176</v>
      </c>
      <c r="D160" s="72" t="s">
        <v>121</v>
      </c>
      <c r="E160" s="49" t="s">
        <v>203</v>
      </c>
      <c r="F160" s="66" t="n">
        <f aca="false">$J$22</f>
        <v>46269</v>
      </c>
      <c r="G160" s="74" t="n">
        <f aca="false">ROUND($H$22*$E$12,1)</f>
        <v>14.3</v>
      </c>
      <c r="H160" s="75" t="n">
        <f aca="false">$F$12</f>
        <v>30</v>
      </c>
      <c r="I160" s="68" t="n">
        <f aca="false">F160+H160</f>
        <v>46299</v>
      </c>
      <c r="J160" s="75" t="n">
        <f aca="false">IF(AND($H$12="Y",Assumptions!$B$10=1),Assumptions!$B$51,0)</f>
        <v>0</v>
      </c>
      <c r="K160" s="68" t="n">
        <f aca="false">I160+J160</f>
        <v>46299</v>
      </c>
      <c r="L160" s="77" t="n">
        <f aca="false">K160+IF(WEEKDAY(K160,2)&lt;=4,4-WEEKDAY(K160,2),11-WEEKDAY(K160,2))</f>
        <v>46303</v>
      </c>
      <c r="M160" s="67" t="n">
        <f aca="false">G160</f>
        <v>14.3</v>
      </c>
    </row>
    <row r="161" customFormat="false" ht="12.75" hidden="false" customHeight="true" outlineLevel="0" collapsed="false">
      <c r="A161" s="71"/>
      <c r="B161" s="70" t="s">
        <v>357</v>
      </c>
      <c r="C161" s="71" t="s">
        <v>176</v>
      </c>
      <c r="D161" s="72" t="s">
        <v>121</v>
      </c>
      <c r="E161" s="49" t="s">
        <v>204</v>
      </c>
      <c r="F161" s="66" t="n">
        <f aca="false">$J$23</f>
        <v>46276</v>
      </c>
      <c r="G161" s="74" t="n">
        <f aca="false">ROUND($H$23*$E$12,1)</f>
        <v>15</v>
      </c>
      <c r="H161" s="75" t="n">
        <f aca="false">$F$12</f>
        <v>30</v>
      </c>
      <c r="I161" s="68" t="n">
        <f aca="false">F161+H161</f>
        <v>46306</v>
      </c>
      <c r="J161" s="75" t="n">
        <f aca="false">IF(AND($H$12="Y",Assumptions!$B$10=1),Assumptions!$B$51,0)</f>
        <v>0</v>
      </c>
      <c r="K161" s="68" t="n">
        <f aca="false">I161+J161</f>
        <v>46306</v>
      </c>
      <c r="L161" s="77" t="n">
        <f aca="false">K161+IF(WEEKDAY(K161,2)&lt;=4,4-WEEKDAY(K161,2),11-WEEKDAY(K161,2))</f>
        <v>46310</v>
      </c>
      <c r="M161" s="67" t="n">
        <f aca="false">G161</f>
        <v>15</v>
      </c>
    </row>
    <row r="162" customFormat="false" ht="12.75" hidden="false" customHeight="true" outlineLevel="0" collapsed="false">
      <c r="A162" s="71"/>
      <c r="B162" s="70" t="s">
        <v>357</v>
      </c>
      <c r="C162" s="71" t="s">
        <v>176</v>
      </c>
      <c r="D162" s="72" t="s">
        <v>121</v>
      </c>
      <c r="E162" s="49" t="s">
        <v>206</v>
      </c>
      <c r="F162" s="66" t="n">
        <f aca="false">$J$24</f>
        <v>46283</v>
      </c>
      <c r="G162" s="74" t="n">
        <f aca="false">ROUND($H$24*$E$12,1)</f>
        <v>15</v>
      </c>
      <c r="H162" s="75" t="n">
        <f aca="false">$F$12</f>
        <v>30</v>
      </c>
      <c r="I162" s="68" t="n">
        <f aca="false">F162+H162</f>
        <v>46313</v>
      </c>
      <c r="J162" s="75" t="n">
        <f aca="false">IF(AND($H$12="Y",Assumptions!$B$10=1),Assumptions!$B$51,0)</f>
        <v>0</v>
      </c>
      <c r="K162" s="68" t="n">
        <f aca="false">I162+J162</f>
        <v>46313</v>
      </c>
      <c r="L162" s="77" t="n">
        <f aca="false">K162+IF(WEEKDAY(K162,2)&lt;=4,4-WEEKDAY(K162,2),11-WEEKDAY(K162,2))</f>
        <v>46317</v>
      </c>
      <c r="M162" s="67" t="n">
        <f aca="false">G162</f>
        <v>15</v>
      </c>
    </row>
    <row r="163" customFormat="false" ht="12.75" hidden="false" customHeight="true" outlineLevel="0" collapsed="false">
      <c r="A163" s="71"/>
      <c r="B163" s="70" t="s">
        <v>357</v>
      </c>
      <c r="C163" s="71" t="s">
        <v>176</v>
      </c>
      <c r="D163" s="72" t="s">
        <v>121</v>
      </c>
      <c r="E163" s="49" t="s">
        <v>207</v>
      </c>
      <c r="F163" s="66" t="n">
        <f aca="false">$J$25</f>
        <v>46290</v>
      </c>
      <c r="G163" s="74" t="n">
        <f aca="false">ROUND($H$25*$E$12,1)</f>
        <v>14.7</v>
      </c>
      <c r="H163" s="75" t="n">
        <f aca="false">$F$12</f>
        <v>30</v>
      </c>
      <c r="I163" s="68" t="n">
        <f aca="false">F163+H163</f>
        <v>46320</v>
      </c>
      <c r="J163" s="75" t="n">
        <f aca="false">IF(AND($H$12="Y",Assumptions!$B$10=1),Assumptions!$B$51,0)</f>
        <v>0</v>
      </c>
      <c r="K163" s="68" t="n">
        <f aca="false">I163+J163</f>
        <v>46320</v>
      </c>
      <c r="L163" s="77" t="n">
        <f aca="false">K163+IF(WEEKDAY(K163,2)&lt;=4,4-WEEKDAY(K163,2),11-WEEKDAY(K163,2))</f>
        <v>46324</v>
      </c>
      <c r="M163" s="67" t="n">
        <f aca="false">G163</f>
        <v>14.7</v>
      </c>
    </row>
    <row r="164" customFormat="false" ht="12.75" hidden="false" customHeight="true" outlineLevel="0" collapsed="false">
      <c r="A164" s="71"/>
      <c r="B164" s="70" t="s">
        <v>357</v>
      </c>
      <c r="C164" s="71" t="s">
        <v>176</v>
      </c>
      <c r="D164" s="72" t="s">
        <v>121</v>
      </c>
      <c r="E164" s="49" t="s">
        <v>208</v>
      </c>
      <c r="F164" s="66" t="n">
        <f aca="false">$J$26</f>
        <v>46297</v>
      </c>
      <c r="G164" s="74" t="n">
        <f aca="false">ROUND($H$26*$E$12,1)</f>
        <v>14.3</v>
      </c>
      <c r="H164" s="75" t="n">
        <f aca="false">$F$12</f>
        <v>30</v>
      </c>
      <c r="I164" s="68" t="n">
        <f aca="false">F164+H164</f>
        <v>46327</v>
      </c>
      <c r="J164" s="75" t="n">
        <f aca="false">IF(AND($H$12="Y",Assumptions!$B$10=1),Assumptions!$B$51,0)</f>
        <v>0</v>
      </c>
      <c r="K164" s="68" t="n">
        <f aca="false">I164+J164</f>
        <v>46327</v>
      </c>
      <c r="L164" s="77" t="n">
        <f aca="false">K164+IF(WEEKDAY(K164,2)&lt;=4,4-WEEKDAY(K164,2),11-WEEKDAY(K164,2))</f>
        <v>46331</v>
      </c>
      <c r="M164" s="67" t="n">
        <f aca="false">G164</f>
        <v>14.3</v>
      </c>
    </row>
    <row r="165" customFormat="false" ht="12.75" hidden="false" customHeight="true" outlineLevel="0" collapsed="false">
      <c r="A165" s="71"/>
      <c r="B165" s="70" t="s">
        <v>357</v>
      </c>
      <c r="C165" s="71" t="s">
        <v>176</v>
      </c>
      <c r="D165" s="72" t="s">
        <v>121</v>
      </c>
      <c r="E165" s="49" t="s">
        <v>209</v>
      </c>
      <c r="F165" s="66" t="n">
        <f aca="false">$J$27</f>
        <v>46304</v>
      </c>
      <c r="G165" s="74" t="n">
        <f aca="false">ROUND($H$27*$E$12,1)</f>
        <v>14.3</v>
      </c>
      <c r="H165" s="75" t="n">
        <f aca="false">$F$12</f>
        <v>30</v>
      </c>
      <c r="I165" s="68" t="n">
        <f aca="false">F165+H165</f>
        <v>46334</v>
      </c>
      <c r="J165" s="75" t="n">
        <f aca="false">IF(AND($H$12="Y",Assumptions!$B$10=1),Assumptions!$B$51,0)</f>
        <v>0</v>
      </c>
      <c r="K165" s="68" t="n">
        <f aca="false">I165+J165</f>
        <v>46334</v>
      </c>
      <c r="L165" s="77" t="n">
        <f aca="false">K165+IF(WEEKDAY(K165,2)&lt;=4,4-WEEKDAY(K165,2),11-WEEKDAY(K165,2))</f>
        <v>46338</v>
      </c>
      <c r="M165" s="67" t="n">
        <f aca="false">G165</f>
        <v>14.3</v>
      </c>
    </row>
    <row r="166" customFormat="false" ht="12.75" hidden="false" customHeight="true" outlineLevel="0" collapsed="false">
      <c r="A166" s="71"/>
      <c r="B166" s="70" t="s">
        <v>357</v>
      </c>
      <c r="C166" s="71" t="s">
        <v>176</v>
      </c>
      <c r="D166" s="72" t="s">
        <v>121</v>
      </c>
      <c r="E166" s="49" t="s">
        <v>210</v>
      </c>
      <c r="F166" s="66" t="n">
        <f aca="false">$J$28</f>
        <v>46311</v>
      </c>
      <c r="G166" s="74" t="n">
        <f aca="false">ROUND($H$28*$E$12,1)</f>
        <v>13.9</v>
      </c>
      <c r="H166" s="75" t="n">
        <f aca="false">$F$12</f>
        <v>30</v>
      </c>
      <c r="I166" s="68" t="n">
        <f aca="false">F166+H166</f>
        <v>46341</v>
      </c>
      <c r="J166" s="75" t="n">
        <f aca="false">IF(AND($H$12="Y",Assumptions!$B$10=1),Assumptions!$B$51,0)</f>
        <v>0</v>
      </c>
      <c r="K166" s="68" t="n">
        <f aca="false">I166+J166</f>
        <v>46341</v>
      </c>
      <c r="L166" s="77" t="n">
        <f aca="false">K166+IF(WEEKDAY(K166,2)&lt;=4,4-WEEKDAY(K166,2),11-WEEKDAY(K166,2))</f>
        <v>46345</v>
      </c>
      <c r="M166" s="67" t="n">
        <f aca="false">G166</f>
        <v>13.9</v>
      </c>
    </row>
    <row r="167" customFormat="false" ht="12.75" hidden="false" customHeight="true" outlineLevel="0" collapsed="false">
      <c r="A167" s="71"/>
      <c r="B167" s="70" t="s">
        <v>357</v>
      </c>
      <c r="C167" s="71" t="s">
        <v>176</v>
      </c>
      <c r="D167" s="72" t="s">
        <v>121</v>
      </c>
      <c r="E167" s="49" t="s">
        <v>211</v>
      </c>
      <c r="F167" s="66" t="n">
        <f aca="false">$J$29</f>
        <v>46318</v>
      </c>
      <c r="G167" s="74" t="n">
        <f aca="false">ROUND($H$29*$E$12,1)</f>
        <v>13.6</v>
      </c>
      <c r="H167" s="75" t="n">
        <f aca="false">$F$12</f>
        <v>30</v>
      </c>
      <c r="I167" s="68" t="n">
        <f aca="false">F167+H167</f>
        <v>46348</v>
      </c>
      <c r="J167" s="75" t="n">
        <f aca="false">IF(AND($H$12="Y",Assumptions!$B$10=1),Assumptions!$B$51,0)</f>
        <v>0</v>
      </c>
      <c r="K167" s="68" t="n">
        <f aca="false">I167+J167</f>
        <v>46348</v>
      </c>
      <c r="L167" s="77" t="n">
        <f aca="false">K167+IF(WEEKDAY(K167,2)&lt;=4,4-WEEKDAY(K167,2),11-WEEKDAY(K167,2))</f>
        <v>46352</v>
      </c>
      <c r="M167" s="67" t="n">
        <f aca="false">G167</f>
        <v>13.6</v>
      </c>
    </row>
    <row r="168" customFormat="false" ht="12.75" hidden="false" customHeight="true" outlineLevel="0" collapsed="false">
      <c r="A168" s="71"/>
      <c r="B168" s="70" t="s">
        <v>359</v>
      </c>
      <c r="C168" s="71" t="s">
        <v>173</v>
      </c>
      <c r="D168" s="72" t="s">
        <v>123</v>
      </c>
      <c r="E168" s="49" t="s">
        <v>195</v>
      </c>
      <c r="F168" s="66" t="n">
        <f aca="false">$J$17</f>
        <v>46234</v>
      </c>
      <c r="G168" s="74" t="n">
        <f aca="false">ROUND($I$17*$E$13,1)</f>
        <v>16.7</v>
      </c>
      <c r="H168" s="75" t="n">
        <f aca="false">$F$13</f>
        <v>30</v>
      </c>
      <c r="I168" s="68" t="n">
        <f aca="false">F168+H168</f>
        <v>46264</v>
      </c>
      <c r="J168" s="75" t="n">
        <f aca="false">IF(AND($H$13="Y",Assumptions!$B$10=1),Assumptions!$B$51,0)</f>
        <v>0</v>
      </c>
      <c r="K168" s="68" t="n">
        <f aca="false">I168+J168</f>
        <v>46264</v>
      </c>
      <c r="L168" s="77" t="n">
        <f aca="false">K168+IF(WEEKDAY(K168,2)&lt;=4,4-WEEKDAY(K168,2),11-WEEKDAY(K168,2))</f>
        <v>46268</v>
      </c>
      <c r="M168" s="67" t="n">
        <f aca="false">G168</f>
        <v>16.7</v>
      </c>
    </row>
    <row r="169" customFormat="false" ht="12.75" hidden="false" customHeight="true" outlineLevel="0" collapsed="false">
      <c r="A169" s="71"/>
      <c r="B169" s="70" t="s">
        <v>359</v>
      </c>
      <c r="C169" s="71" t="s">
        <v>173</v>
      </c>
      <c r="D169" s="72" t="s">
        <v>123</v>
      </c>
      <c r="E169" s="49" t="s">
        <v>197</v>
      </c>
      <c r="F169" s="66" t="n">
        <f aca="false">$J$18</f>
        <v>46241</v>
      </c>
      <c r="G169" s="74" t="n">
        <f aca="false">ROUND($I$18*$E$13,1)</f>
        <v>17.1</v>
      </c>
      <c r="H169" s="75" t="n">
        <f aca="false">$F$13</f>
        <v>30</v>
      </c>
      <c r="I169" s="68" t="n">
        <f aca="false">F169+H169</f>
        <v>46271</v>
      </c>
      <c r="J169" s="75" t="n">
        <f aca="false">IF(AND($H$13="Y",Assumptions!$B$10=1),Assumptions!$B$51,0)</f>
        <v>0</v>
      </c>
      <c r="K169" s="68" t="n">
        <f aca="false">I169+J169</f>
        <v>46271</v>
      </c>
      <c r="L169" s="77" t="n">
        <f aca="false">K169+IF(WEEKDAY(K169,2)&lt;=4,4-WEEKDAY(K169,2),11-WEEKDAY(K169,2))</f>
        <v>46275</v>
      </c>
      <c r="M169" s="67" t="n">
        <f aca="false">G169</f>
        <v>17.1</v>
      </c>
    </row>
    <row r="170" customFormat="false" ht="12.75" hidden="false" customHeight="true" outlineLevel="0" collapsed="false">
      <c r="A170" s="71"/>
      <c r="B170" s="70" t="s">
        <v>359</v>
      </c>
      <c r="C170" s="71" t="s">
        <v>173</v>
      </c>
      <c r="D170" s="72" t="s">
        <v>123</v>
      </c>
      <c r="E170" s="49" t="s">
        <v>198</v>
      </c>
      <c r="F170" s="66" t="n">
        <f aca="false">$J$19</f>
        <v>46248</v>
      </c>
      <c r="G170" s="74" t="n">
        <f aca="false">ROUND($I$19*$E$13,1)</f>
        <v>3.3</v>
      </c>
      <c r="H170" s="75" t="n">
        <f aca="false">$F$13</f>
        <v>30</v>
      </c>
      <c r="I170" s="68" t="n">
        <f aca="false">F170+H170</f>
        <v>46278</v>
      </c>
      <c r="J170" s="75" t="n">
        <f aca="false">IF(AND($H$13="Y",Assumptions!$B$10=1),Assumptions!$B$51,0)</f>
        <v>0</v>
      </c>
      <c r="K170" s="68" t="n">
        <f aca="false">I170+J170</f>
        <v>46278</v>
      </c>
      <c r="L170" s="77" t="n">
        <f aca="false">K170+IF(WEEKDAY(K170,2)&lt;=4,4-WEEKDAY(K170,2),11-WEEKDAY(K170,2))</f>
        <v>46282</v>
      </c>
      <c r="M170" s="67" t="n">
        <f aca="false">G170</f>
        <v>3.3</v>
      </c>
    </row>
    <row r="171" customFormat="false" ht="12.75" hidden="false" customHeight="true" outlineLevel="0" collapsed="false">
      <c r="A171" s="71"/>
      <c r="B171" s="70" t="s">
        <v>359</v>
      </c>
      <c r="C171" s="71" t="s">
        <v>173</v>
      </c>
      <c r="D171" s="72" t="s">
        <v>123</v>
      </c>
      <c r="E171" s="49" t="s">
        <v>200</v>
      </c>
      <c r="F171" s="66" t="n">
        <f aca="false">$J$20</f>
        <v>46255</v>
      </c>
      <c r="G171" s="74" t="n">
        <f aca="false">ROUND($I$20*$E$13,1)</f>
        <v>3.3</v>
      </c>
      <c r="H171" s="75" t="n">
        <f aca="false">$F$13</f>
        <v>30</v>
      </c>
      <c r="I171" s="68" t="n">
        <f aca="false">F171+H171</f>
        <v>46285</v>
      </c>
      <c r="J171" s="75" t="n">
        <f aca="false">IF(AND($H$13="Y",Assumptions!$B$10=1),Assumptions!$B$51,0)</f>
        <v>0</v>
      </c>
      <c r="K171" s="68" t="n">
        <f aca="false">I171+J171</f>
        <v>46285</v>
      </c>
      <c r="L171" s="77" t="n">
        <f aca="false">K171+IF(WEEKDAY(K171,2)&lt;=4,4-WEEKDAY(K171,2),11-WEEKDAY(K171,2))</f>
        <v>46289</v>
      </c>
      <c r="M171" s="67" t="n">
        <f aca="false">G171</f>
        <v>3.3</v>
      </c>
    </row>
    <row r="172" customFormat="false" ht="12.75" hidden="false" customHeight="true" outlineLevel="0" collapsed="false">
      <c r="A172" s="71"/>
      <c r="B172" s="70" t="s">
        <v>359</v>
      </c>
      <c r="C172" s="71" t="s">
        <v>173</v>
      </c>
      <c r="D172" s="72" t="s">
        <v>123</v>
      </c>
      <c r="E172" s="49" t="s">
        <v>201</v>
      </c>
      <c r="F172" s="66" t="n">
        <f aca="false">$J$21</f>
        <v>46262</v>
      </c>
      <c r="G172" s="74" t="n">
        <f aca="false">ROUND($I$21*$E$13,1)</f>
        <v>14.2</v>
      </c>
      <c r="H172" s="75" t="n">
        <f aca="false">$F$13</f>
        <v>30</v>
      </c>
      <c r="I172" s="68" t="n">
        <f aca="false">F172+H172</f>
        <v>46292</v>
      </c>
      <c r="J172" s="75" t="n">
        <f aca="false">IF(AND($H$13="Y",Assumptions!$B$10=1),Assumptions!$B$51,0)</f>
        <v>0</v>
      </c>
      <c r="K172" s="68" t="n">
        <f aca="false">I172+J172</f>
        <v>46292</v>
      </c>
      <c r="L172" s="77" t="n">
        <f aca="false">K172+IF(WEEKDAY(K172,2)&lt;=4,4-WEEKDAY(K172,2),11-WEEKDAY(K172,2))</f>
        <v>46296</v>
      </c>
      <c r="M172" s="67" t="n">
        <f aca="false">G172</f>
        <v>14.2</v>
      </c>
    </row>
    <row r="173" customFormat="false" ht="12.75" hidden="false" customHeight="true" outlineLevel="0" collapsed="false">
      <c r="A173" s="71"/>
      <c r="B173" s="70" t="s">
        <v>359</v>
      </c>
      <c r="C173" s="71" t="s">
        <v>173</v>
      </c>
      <c r="D173" s="72" t="s">
        <v>123</v>
      </c>
      <c r="E173" s="49" t="s">
        <v>203</v>
      </c>
      <c r="F173" s="66" t="n">
        <f aca="false">$J$22</f>
        <v>46269</v>
      </c>
      <c r="G173" s="74" t="n">
        <f aca="false">ROUND($I$22*$E$13,1)</f>
        <v>17.6</v>
      </c>
      <c r="H173" s="75" t="n">
        <f aca="false">$F$13</f>
        <v>30</v>
      </c>
      <c r="I173" s="68" t="n">
        <f aca="false">F173+H173</f>
        <v>46299</v>
      </c>
      <c r="J173" s="75" t="n">
        <f aca="false">IF(AND($H$13="Y",Assumptions!$B$10=1),Assumptions!$B$51,0)</f>
        <v>0</v>
      </c>
      <c r="K173" s="68" t="n">
        <f aca="false">I173+J173</f>
        <v>46299</v>
      </c>
      <c r="L173" s="77" t="n">
        <f aca="false">K173+IF(WEEKDAY(K173,2)&lt;=4,4-WEEKDAY(K173,2),11-WEEKDAY(K173,2))</f>
        <v>46303</v>
      </c>
      <c r="M173" s="67" t="n">
        <f aca="false">G173</f>
        <v>17.6</v>
      </c>
    </row>
    <row r="174" customFormat="false" ht="12.75" hidden="false" customHeight="true" outlineLevel="0" collapsed="false">
      <c r="A174" s="71"/>
      <c r="B174" s="70" t="s">
        <v>359</v>
      </c>
      <c r="C174" s="71" t="s">
        <v>173</v>
      </c>
      <c r="D174" s="72" t="s">
        <v>123</v>
      </c>
      <c r="E174" s="49" t="s">
        <v>204</v>
      </c>
      <c r="F174" s="66" t="n">
        <f aca="false">$J$23</f>
        <v>46276</v>
      </c>
      <c r="G174" s="74" t="n">
        <f aca="false">ROUND($I$23*$E$13,1)</f>
        <v>18.4</v>
      </c>
      <c r="H174" s="75" t="n">
        <f aca="false">$F$13</f>
        <v>30</v>
      </c>
      <c r="I174" s="68" t="n">
        <f aca="false">F174+H174</f>
        <v>46306</v>
      </c>
      <c r="J174" s="75" t="n">
        <f aca="false">IF(AND($H$13="Y",Assumptions!$B$10=1),Assumptions!$B$51,0)</f>
        <v>0</v>
      </c>
      <c r="K174" s="68" t="n">
        <f aca="false">I174+J174</f>
        <v>46306</v>
      </c>
      <c r="L174" s="77" t="n">
        <f aca="false">K174+IF(WEEKDAY(K174,2)&lt;=4,4-WEEKDAY(K174,2),11-WEEKDAY(K174,2))</f>
        <v>46310</v>
      </c>
      <c r="M174" s="67" t="n">
        <f aca="false">G174</f>
        <v>18.4</v>
      </c>
    </row>
    <row r="175" customFormat="false" ht="12.75" hidden="false" customHeight="true" outlineLevel="0" collapsed="false">
      <c r="A175" s="71"/>
      <c r="B175" s="70" t="s">
        <v>359</v>
      </c>
      <c r="C175" s="71" t="s">
        <v>173</v>
      </c>
      <c r="D175" s="72" t="s">
        <v>123</v>
      </c>
      <c r="E175" s="49" t="s">
        <v>206</v>
      </c>
      <c r="F175" s="66" t="n">
        <f aca="false">$J$24</f>
        <v>46283</v>
      </c>
      <c r="G175" s="74" t="n">
        <f aca="false">ROUND($I$24*$E$13,1)</f>
        <v>18.4</v>
      </c>
      <c r="H175" s="75" t="n">
        <f aca="false">$F$13</f>
        <v>30</v>
      </c>
      <c r="I175" s="68" t="n">
        <f aca="false">F175+H175</f>
        <v>46313</v>
      </c>
      <c r="J175" s="75" t="n">
        <f aca="false">IF(AND($H$13="Y",Assumptions!$B$10=1),Assumptions!$B$51,0)</f>
        <v>0</v>
      </c>
      <c r="K175" s="68" t="n">
        <f aca="false">I175+J175</f>
        <v>46313</v>
      </c>
      <c r="L175" s="77" t="n">
        <f aca="false">K175+IF(WEEKDAY(K175,2)&lt;=4,4-WEEKDAY(K175,2),11-WEEKDAY(K175,2))</f>
        <v>46317</v>
      </c>
      <c r="M175" s="67" t="n">
        <f aca="false">G175</f>
        <v>18.4</v>
      </c>
    </row>
    <row r="176" customFormat="false" ht="12.75" hidden="false" customHeight="true" outlineLevel="0" collapsed="false">
      <c r="A176" s="71"/>
      <c r="B176" s="70" t="s">
        <v>359</v>
      </c>
      <c r="C176" s="71" t="s">
        <v>173</v>
      </c>
      <c r="D176" s="72" t="s">
        <v>123</v>
      </c>
      <c r="E176" s="49" t="s">
        <v>207</v>
      </c>
      <c r="F176" s="66" t="n">
        <f aca="false">$J$25</f>
        <v>46290</v>
      </c>
      <c r="G176" s="74" t="n">
        <f aca="false">ROUND($I$25*$E$13,1)</f>
        <v>18.1</v>
      </c>
      <c r="H176" s="75" t="n">
        <f aca="false">$F$13</f>
        <v>30</v>
      </c>
      <c r="I176" s="68" t="n">
        <f aca="false">F176+H176</f>
        <v>46320</v>
      </c>
      <c r="J176" s="75" t="n">
        <f aca="false">IF(AND($H$13="Y",Assumptions!$B$10=1),Assumptions!$B$51,0)</f>
        <v>0</v>
      </c>
      <c r="K176" s="68" t="n">
        <f aca="false">I176+J176</f>
        <v>46320</v>
      </c>
      <c r="L176" s="77" t="n">
        <f aca="false">K176+IF(WEEKDAY(K176,2)&lt;=4,4-WEEKDAY(K176,2),11-WEEKDAY(K176,2))</f>
        <v>46324</v>
      </c>
      <c r="M176" s="67" t="n">
        <f aca="false">G176</f>
        <v>18.1</v>
      </c>
    </row>
    <row r="177" customFormat="false" ht="12.75" hidden="false" customHeight="true" outlineLevel="0" collapsed="false">
      <c r="A177" s="71"/>
      <c r="B177" s="70" t="s">
        <v>359</v>
      </c>
      <c r="C177" s="71" t="s">
        <v>173</v>
      </c>
      <c r="D177" s="72" t="s">
        <v>123</v>
      </c>
      <c r="E177" s="49" t="s">
        <v>208</v>
      </c>
      <c r="F177" s="66" t="n">
        <f aca="false">$J$26</f>
        <v>46297</v>
      </c>
      <c r="G177" s="74" t="n">
        <f aca="false">ROUND($I$26*$E$13,1)</f>
        <v>17.6</v>
      </c>
      <c r="H177" s="75" t="n">
        <f aca="false">$F$13</f>
        <v>30</v>
      </c>
      <c r="I177" s="68" t="n">
        <f aca="false">F177+H177</f>
        <v>46327</v>
      </c>
      <c r="J177" s="75" t="n">
        <f aca="false">IF(AND($H$13="Y",Assumptions!$B$10=1),Assumptions!$B$51,0)</f>
        <v>0</v>
      </c>
      <c r="K177" s="68" t="n">
        <f aca="false">I177+J177</f>
        <v>46327</v>
      </c>
      <c r="L177" s="77" t="n">
        <f aca="false">K177+IF(WEEKDAY(K177,2)&lt;=4,4-WEEKDAY(K177,2),11-WEEKDAY(K177,2))</f>
        <v>46331</v>
      </c>
      <c r="M177" s="67" t="n">
        <f aca="false">G177</f>
        <v>17.6</v>
      </c>
    </row>
    <row r="178" customFormat="false" ht="12.75" hidden="false" customHeight="true" outlineLevel="0" collapsed="false">
      <c r="A178" s="71"/>
      <c r="B178" s="70" t="s">
        <v>359</v>
      </c>
      <c r="C178" s="71" t="s">
        <v>173</v>
      </c>
      <c r="D178" s="72" t="s">
        <v>123</v>
      </c>
      <c r="E178" s="49" t="s">
        <v>209</v>
      </c>
      <c r="F178" s="66" t="n">
        <f aca="false">$J$27</f>
        <v>46304</v>
      </c>
      <c r="G178" s="74" t="n">
        <f aca="false">ROUND($I$27*$E$13,1)</f>
        <v>17.6</v>
      </c>
      <c r="H178" s="75" t="n">
        <f aca="false">$F$13</f>
        <v>30</v>
      </c>
      <c r="I178" s="68" t="n">
        <f aca="false">F178+H178</f>
        <v>46334</v>
      </c>
      <c r="J178" s="75" t="n">
        <f aca="false">IF(AND($H$13="Y",Assumptions!$B$10=1),Assumptions!$B$51,0)</f>
        <v>0</v>
      </c>
      <c r="K178" s="68" t="n">
        <f aca="false">I178+J178</f>
        <v>46334</v>
      </c>
      <c r="L178" s="77" t="n">
        <f aca="false">K178+IF(WEEKDAY(K178,2)&lt;=4,4-WEEKDAY(K178,2),11-WEEKDAY(K178,2))</f>
        <v>46338</v>
      </c>
      <c r="M178" s="67" t="n">
        <f aca="false">G178</f>
        <v>17.6</v>
      </c>
    </row>
    <row r="179" customFormat="false" ht="12.75" hidden="false" customHeight="true" outlineLevel="0" collapsed="false">
      <c r="A179" s="71"/>
      <c r="B179" s="70" t="s">
        <v>359</v>
      </c>
      <c r="C179" s="71" t="s">
        <v>173</v>
      </c>
      <c r="D179" s="72" t="s">
        <v>123</v>
      </c>
      <c r="E179" s="49" t="s">
        <v>210</v>
      </c>
      <c r="F179" s="66" t="n">
        <f aca="false">$J$28</f>
        <v>46311</v>
      </c>
      <c r="G179" s="74" t="n">
        <f aca="false">ROUND($I$28*$E$13,1)</f>
        <v>17.1</v>
      </c>
      <c r="H179" s="75" t="n">
        <f aca="false">$F$13</f>
        <v>30</v>
      </c>
      <c r="I179" s="68" t="n">
        <f aca="false">F179+H179</f>
        <v>46341</v>
      </c>
      <c r="J179" s="75" t="n">
        <f aca="false">IF(AND($H$13="Y",Assumptions!$B$10=1),Assumptions!$B$51,0)</f>
        <v>0</v>
      </c>
      <c r="K179" s="68" t="n">
        <f aca="false">I179+J179</f>
        <v>46341</v>
      </c>
      <c r="L179" s="77" t="n">
        <f aca="false">K179+IF(WEEKDAY(K179,2)&lt;=4,4-WEEKDAY(K179,2),11-WEEKDAY(K179,2))</f>
        <v>46345</v>
      </c>
      <c r="M179" s="67" t="n">
        <f aca="false">G179</f>
        <v>17.1</v>
      </c>
    </row>
    <row r="180" customFormat="false" ht="12.75" hidden="false" customHeight="true" outlineLevel="0" collapsed="false">
      <c r="A180" s="71"/>
      <c r="B180" s="70" t="s">
        <v>359</v>
      </c>
      <c r="C180" s="71" t="s">
        <v>173</v>
      </c>
      <c r="D180" s="72" t="s">
        <v>123</v>
      </c>
      <c r="E180" s="49" t="s">
        <v>211</v>
      </c>
      <c r="F180" s="66" t="n">
        <f aca="false">$J$29</f>
        <v>46318</v>
      </c>
      <c r="G180" s="74" t="n">
        <f aca="false">ROUND($I$29*$E$13,1)</f>
        <v>16.7</v>
      </c>
      <c r="H180" s="75" t="n">
        <f aca="false">$F$13</f>
        <v>30</v>
      </c>
      <c r="I180" s="68" t="n">
        <f aca="false">F180+H180</f>
        <v>46348</v>
      </c>
      <c r="J180" s="75" t="n">
        <f aca="false">IF(AND($H$13="Y",Assumptions!$B$10=1),Assumptions!$B$51,0)</f>
        <v>0</v>
      </c>
      <c r="K180" s="68" t="n">
        <f aca="false">I180+J180</f>
        <v>46348</v>
      </c>
      <c r="L180" s="77" t="n">
        <f aca="false">K180+IF(WEEKDAY(K180,2)&lt;=4,4-WEEKDAY(K180,2),11-WEEKDAY(K180,2))</f>
        <v>46352</v>
      </c>
      <c r="M180" s="67" t="n">
        <f aca="false">G180</f>
        <v>16.7</v>
      </c>
    </row>
    <row r="181" customFormat="false" ht="19.4" hidden="false" customHeight="false" outlineLevel="0" collapsed="false">
      <c r="B181" s="59" t="s">
        <v>416</v>
      </c>
      <c r="C181" s="60"/>
      <c r="D181" s="60"/>
      <c r="E181" s="60"/>
      <c r="F181" s="60"/>
      <c r="G181" s="63" t="n">
        <f aca="false">SUM(G77:G180)</f>
        <v>4705.5</v>
      </c>
      <c r="H181" s="60"/>
      <c r="I181" s="60"/>
      <c r="J181" s="60"/>
      <c r="K181" s="60"/>
      <c r="L181" s="60"/>
      <c r="M181" s="63" t="n">
        <f aca="false">SUM(M77:M180)</f>
        <v>4705.5</v>
      </c>
      <c r="N181" s="64" t="s">
        <v>417</v>
      </c>
    </row>
    <row r="183" customFormat="false" ht="16.5" hidden="false" customHeight="true" outlineLevel="0" collapsed="false">
      <c r="A183" s="10" t="s">
        <v>418</v>
      </c>
      <c r="B183" s="10"/>
      <c r="C183" s="10"/>
      <c r="D183" s="10"/>
      <c r="E183" s="10"/>
      <c r="F183" s="10"/>
      <c r="G183" s="10"/>
      <c r="H183" s="10"/>
      <c r="I183" s="10"/>
      <c r="J183" s="10"/>
      <c r="K183" s="10"/>
      <c r="L183" s="10"/>
      <c r="M183" s="10"/>
      <c r="N183" s="10"/>
    </row>
    <row r="184" customFormat="false" ht="27.75" hidden="false" customHeight="true" outlineLevel="0" collapsed="false">
      <c r="B184" s="12" t="s">
        <v>419</v>
      </c>
      <c r="C184" s="12"/>
      <c r="D184" s="12" t="s">
        <v>157</v>
      </c>
      <c r="E184" s="12" t="s">
        <v>420</v>
      </c>
      <c r="F184" s="12" t="s">
        <v>421</v>
      </c>
      <c r="G184" s="12" t="s">
        <v>216</v>
      </c>
      <c r="H184" s="12"/>
      <c r="I184" s="12"/>
      <c r="J184" s="12"/>
      <c r="K184" s="12"/>
      <c r="L184" s="12" t="s">
        <v>371</v>
      </c>
      <c r="M184" s="12" t="s">
        <v>372</v>
      </c>
      <c r="N184" s="12" t="s">
        <v>9</v>
      </c>
    </row>
    <row r="185" customFormat="false" ht="18" hidden="false" customHeight="true" outlineLevel="0" collapsed="false">
      <c r="A185" s="71"/>
      <c r="B185" s="70" t="s">
        <v>422</v>
      </c>
      <c r="C185" s="65"/>
      <c r="D185" s="72" t="s">
        <v>127</v>
      </c>
      <c r="E185" s="34" t="s">
        <v>423</v>
      </c>
      <c r="F185" s="73" t="n">
        <v>46235</v>
      </c>
      <c r="G185" s="74" t="n">
        <f aca="false">Assumptions!$B$36</f>
        <v>58</v>
      </c>
      <c r="K185" s="68" t="n">
        <f aca="false">F185</f>
        <v>46235</v>
      </c>
      <c r="L185" s="77" t="n">
        <f aca="false">K185+IF(WEEKDAY(K185,2)=6,2,IF(WEEKDAY(K185,2)=7,1,0))</f>
        <v>46237</v>
      </c>
      <c r="M185" s="67" t="n">
        <f aca="false">G185</f>
        <v>58</v>
      </c>
      <c r="N185" s="78" t="s">
        <v>424</v>
      </c>
    </row>
    <row r="186" customFormat="false" ht="12.75" hidden="false" customHeight="true" outlineLevel="0" collapsed="false">
      <c r="A186" s="71"/>
      <c r="B186" s="70" t="s">
        <v>425</v>
      </c>
      <c r="C186" s="65"/>
      <c r="D186" s="72" t="s">
        <v>127</v>
      </c>
      <c r="E186" s="34" t="s">
        <v>423</v>
      </c>
      <c r="F186" s="73" t="n">
        <v>46266</v>
      </c>
      <c r="G186" s="74" t="n">
        <f aca="false">Assumptions!$B$36</f>
        <v>58</v>
      </c>
      <c r="K186" s="68" t="n">
        <f aca="false">F186</f>
        <v>46266</v>
      </c>
      <c r="L186" s="77" t="n">
        <f aca="false">K186+IF(WEEKDAY(K186,2)=6,2,IF(WEEKDAY(K186,2)=7,1,0))</f>
        <v>46266</v>
      </c>
      <c r="M186" s="67" t="n">
        <f aca="false">G186</f>
        <v>58</v>
      </c>
      <c r="N186" s="78"/>
    </row>
    <row r="187" customFormat="false" ht="12.75" hidden="false" customHeight="true" outlineLevel="0" collapsed="false">
      <c r="A187" s="71"/>
      <c r="B187" s="70" t="s">
        <v>426</v>
      </c>
      <c r="C187" s="65"/>
      <c r="D187" s="72" t="s">
        <v>127</v>
      </c>
      <c r="E187" s="34" t="s">
        <v>423</v>
      </c>
      <c r="F187" s="73" t="n">
        <v>46296</v>
      </c>
      <c r="G187" s="74" t="n">
        <f aca="false">Assumptions!$B$36</f>
        <v>58</v>
      </c>
      <c r="K187" s="68" t="n">
        <f aca="false">F187</f>
        <v>46296</v>
      </c>
      <c r="L187" s="77" t="n">
        <f aca="false">K187+IF(WEEKDAY(K187,2)=6,2,IF(WEEKDAY(K187,2)=7,1,0))</f>
        <v>46296</v>
      </c>
      <c r="M187" s="67" t="n">
        <f aca="false">G187</f>
        <v>58</v>
      </c>
      <c r="N187" s="78"/>
    </row>
    <row r="188" customFormat="false" ht="18" hidden="false" customHeight="true" outlineLevel="0" collapsed="false">
      <c r="A188" s="71"/>
      <c r="B188" s="70" t="s">
        <v>427</v>
      </c>
      <c r="C188" s="65"/>
      <c r="D188" s="72" t="s">
        <v>124</v>
      </c>
      <c r="E188" s="34" t="s">
        <v>428</v>
      </c>
      <c r="F188" s="73" t="n">
        <v>46244</v>
      </c>
      <c r="G188" s="74" t="n">
        <f aca="false">Assumptions!$B$33</f>
        <v>305</v>
      </c>
      <c r="K188" s="68" t="n">
        <f aca="false">F188</f>
        <v>46244</v>
      </c>
      <c r="L188" s="77" t="n">
        <f aca="false">K188+IF(WEEKDAY(K188,2)=6,2,IF(WEEKDAY(K188,2)=7,1,0))</f>
        <v>46244</v>
      </c>
      <c r="M188" s="67" t="n">
        <f aca="false">G188</f>
        <v>305</v>
      </c>
      <c r="N188" s="78" t="s">
        <v>429</v>
      </c>
    </row>
    <row r="189" customFormat="false" ht="12.75" hidden="false" customHeight="true" outlineLevel="0" collapsed="false">
      <c r="A189" s="71"/>
      <c r="B189" s="70" t="s">
        <v>430</v>
      </c>
      <c r="C189" s="65"/>
      <c r="D189" s="72" t="s">
        <v>124</v>
      </c>
      <c r="E189" s="34" t="s">
        <v>428</v>
      </c>
      <c r="F189" s="73" t="n">
        <v>46275</v>
      </c>
      <c r="G189" s="74" t="n">
        <f aca="false">Assumptions!$B$33</f>
        <v>305</v>
      </c>
      <c r="K189" s="68" t="n">
        <f aca="false">F189</f>
        <v>46275</v>
      </c>
      <c r="L189" s="77" t="n">
        <f aca="false">K189+IF(WEEKDAY(K189,2)=6,2,IF(WEEKDAY(K189,2)=7,1,0))</f>
        <v>46275</v>
      </c>
      <c r="M189" s="67" t="n">
        <f aca="false">G189</f>
        <v>305</v>
      </c>
      <c r="N189" s="78"/>
    </row>
    <row r="190" customFormat="false" ht="12.75" hidden="false" customHeight="true" outlineLevel="0" collapsed="false">
      <c r="A190" s="71"/>
      <c r="B190" s="70" t="s">
        <v>431</v>
      </c>
      <c r="C190" s="65"/>
      <c r="D190" s="72" t="s">
        <v>124</v>
      </c>
      <c r="E190" s="34" t="s">
        <v>428</v>
      </c>
      <c r="F190" s="73" t="n">
        <v>46305</v>
      </c>
      <c r="G190" s="74" t="n">
        <f aca="false">Assumptions!$B$33</f>
        <v>305</v>
      </c>
      <c r="K190" s="68" t="n">
        <f aca="false">F190</f>
        <v>46305</v>
      </c>
      <c r="L190" s="77" t="n">
        <f aca="false">K190+IF(WEEKDAY(K190,2)=6,2,IF(WEEKDAY(K190,2)=7,1,0))</f>
        <v>46307</v>
      </c>
      <c r="M190" s="67" t="n">
        <f aca="false">G190</f>
        <v>305</v>
      </c>
      <c r="N190" s="78"/>
    </row>
    <row r="191" customFormat="false" ht="18" hidden="false" customHeight="true" outlineLevel="0" collapsed="false">
      <c r="A191" s="71"/>
      <c r="B191" s="70" t="s">
        <v>432</v>
      </c>
      <c r="C191" s="65"/>
      <c r="D191" s="72" t="s">
        <v>125</v>
      </c>
      <c r="E191" s="34" t="s">
        <v>433</v>
      </c>
      <c r="F191" s="73" t="n">
        <v>46246</v>
      </c>
      <c r="G191" s="74" t="n">
        <f aca="false">Assumptions!$B$34</f>
        <v>228</v>
      </c>
      <c r="K191" s="68" t="n">
        <f aca="false">F191</f>
        <v>46246</v>
      </c>
      <c r="L191" s="77" t="n">
        <f aca="false">K191+IF(WEEKDAY(K191,2)=6,2,IF(WEEKDAY(K191,2)=7,1,0))</f>
        <v>46246</v>
      </c>
      <c r="M191" s="67" t="n">
        <f aca="false">G191</f>
        <v>228</v>
      </c>
      <c r="N191" s="78" t="s">
        <v>434</v>
      </c>
    </row>
    <row r="192" customFormat="false" ht="12.75" hidden="false" customHeight="true" outlineLevel="0" collapsed="false">
      <c r="A192" s="71"/>
      <c r="B192" s="70" t="s">
        <v>435</v>
      </c>
      <c r="C192" s="65"/>
      <c r="D192" s="72" t="s">
        <v>125</v>
      </c>
      <c r="E192" s="34" t="s">
        <v>433</v>
      </c>
      <c r="F192" s="73" t="n">
        <v>46277</v>
      </c>
      <c r="G192" s="74" t="n">
        <f aca="false">Assumptions!$B$34</f>
        <v>228</v>
      </c>
      <c r="K192" s="68" t="n">
        <f aca="false">F192</f>
        <v>46277</v>
      </c>
      <c r="L192" s="77" t="n">
        <f aca="false">K192+IF(WEEKDAY(K192,2)=6,2,IF(WEEKDAY(K192,2)=7,1,0))</f>
        <v>46279</v>
      </c>
      <c r="M192" s="67" t="n">
        <f aca="false">G192</f>
        <v>228</v>
      </c>
      <c r="N192" s="78"/>
    </row>
    <row r="193" customFormat="false" ht="12.75" hidden="false" customHeight="true" outlineLevel="0" collapsed="false">
      <c r="A193" s="71"/>
      <c r="B193" s="70" t="s">
        <v>436</v>
      </c>
      <c r="C193" s="65"/>
      <c r="D193" s="72" t="s">
        <v>125</v>
      </c>
      <c r="E193" s="34" t="s">
        <v>433</v>
      </c>
      <c r="F193" s="73" t="n">
        <v>46307</v>
      </c>
      <c r="G193" s="74" t="n">
        <f aca="false">Assumptions!$B$34</f>
        <v>228</v>
      </c>
      <c r="K193" s="68" t="n">
        <f aca="false">F193</f>
        <v>46307</v>
      </c>
      <c r="L193" s="77" t="n">
        <f aca="false">K193+IF(WEEKDAY(K193,2)=6,2,IF(WEEKDAY(K193,2)=7,1,0))</f>
        <v>46307</v>
      </c>
      <c r="M193" s="67" t="n">
        <f aca="false">G193</f>
        <v>228</v>
      </c>
      <c r="N193" s="78"/>
    </row>
    <row r="194" customFormat="false" ht="18" hidden="false" customHeight="true" outlineLevel="0" collapsed="false">
      <c r="A194" s="71"/>
      <c r="B194" s="70" t="s">
        <v>437</v>
      </c>
      <c r="C194" s="65"/>
      <c r="D194" s="72" t="s">
        <v>122</v>
      </c>
      <c r="E194" s="34" t="s">
        <v>438</v>
      </c>
      <c r="F194" s="73" t="n">
        <v>46249</v>
      </c>
      <c r="G194" s="74" t="n">
        <f aca="false">ROUND(Assumptions!$B$35*1,1)</f>
        <v>93</v>
      </c>
      <c r="K194" s="68" t="n">
        <f aca="false">F194</f>
        <v>46249</v>
      </c>
      <c r="L194" s="77" t="n">
        <f aca="false">K194+IF(WEEKDAY(K194,2)=6,2,IF(WEEKDAY(K194,2)=7,1,0))</f>
        <v>46251</v>
      </c>
      <c r="M194" s="67" t="n">
        <f aca="false">G194</f>
        <v>93</v>
      </c>
      <c r="N194" s="78" t="s">
        <v>439</v>
      </c>
    </row>
    <row r="195" customFormat="false" ht="18" hidden="false" customHeight="true" outlineLevel="0" collapsed="false">
      <c r="A195" s="71"/>
      <c r="B195" s="70" t="s">
        <v>440</v>
      </c>
      <c r="C195" s="65"/>
      <c r="D195" s="72" t="s">
        <v>122</v>
      </c>
      <c r="E195" s="34" t="s">
        <v>438</v>
      </c>
      <c r="F195" s="73" t="n">
        <v>46280</v>
      </c>
      <c r="G195" s="74" t="n">
        <f aca="false">ROUND(Assumptions!$B$35*0.55,1)</f>
        <v>51.2</v>
      </c>
      <c r="K195" s="68" t="n">
        <f aca="false">F195</f>
        <v>46280</v>
      </c>
      <c r="L195" s="77" t="n">
        <f aca="false">K195+IF(WEEKDAY(K195,2)=6,2,IF(WEEKDAY(K195,2)=7,1,0))</f>
        <v>46280</v>
      </c>
      <c r="M195" s="67" t="n">
        <f aca="false">G195</f>
        <v>51.2</v>
      </c>
      <c r="N195" s="78" t="s">
        <v>441</v>
      </c>
    </row>
    <row r="196" customFormat="false" ht="18" hidden="false" customHeight="true" outlineLevel="0" collapsed="false">
      <c r="A196" s="71"/>
      <c r="B196" s="70" t="s">
        <v>442</v>
      </c>
      <c r="C196" s="65"/>
      <c r="D196" s="72" t="s">
        <v>122</v>
      </c>
      <c r="E196" s="34" t="s">
        <v>438</v>
      </c>
      <c r="F196" s="73" t="n">
        <v>46310</v>
      </c>
      <c r="G196" s="74" t="n">
        <f aca="false">ROUND(Assumptions!$B$35*1.05,1)</f>
        <v>97.7</v>
      </c>
      <c r="K196" s="68" t="n">
        <f aca="false">F196</f>
        <v>46310</v>
      </c>
      <c r="L196" s="77" t="n">
        <f aca="false">K196+IF(WEEKDAY(K196,2)=6,2,IF(WEEKDAY(K196,2)=7,1,0))</f>
        <v>46310</v>
      </c>
      <c r="M196" s="67" t="n">
        <f aca="false">G196</f>
        <v>97.7</v>
      </c>
      <c r="N196" s="78" t="s">
        <v>443</v>
      </c>
    </row>
    <row r="197" customFormat="false" ht="18" hidden="false" customHeight="true" outlineLevel="0" collapsed="false">
      <c r="A197" s="71"/>
      <c r="B197" s="70" t="s">
        <v>444</v>
      </c>
      <c r="C197" s="65"/>
      <c r="D197" s="72" t="s">
        <v>128</v>
      </c>
      <c r="E197" s="34" t="s">
        <v>445</v>
      </c>
      <c r="F197" s="73" t="n">
        <v>46259</v>
      </c>
      <c r="G197" s="74" t="n">
        <f aca="false">Assumptions!$B$37</f>
        <v>64</v>
      </c>
      <c r="K197" s="68" t="n">
        <f aca="false">F197</f>
        <v>46259</v>
      </c>
      <c r="L197" s="77" t="n">
        <f aca="false">K197+IF(WEEKDAY(K197,2)=6,2,IF(WEEKDAY(K197,2)=7,1,0))</f>
        <v>46259</v>
      </c>
      <c r="M197" s="67" t="n">
        <f aca="false">G197</f>
        <v>64</v>
      </c>
      <c r="N197" s="78" t="s">
        <v>446</v>
      </c>
    </row>
    <row r="198" customFormat="false" ht="12.75" hidden="false" customHeight="true" outlineLevel="0" collapsed="false">
      <c r="A198" s="71"/>
      <c r="B198" s="70" t="s">
        <v>447</v>
      </c>
      <c r="C198" s="65"/>
      <c r="D198" s="72" t="s">
        <v>128</v>
      </c>
      <c r="E198" s="34" t="s">
        <v>445</v>
      </c>
      <c r="F198" s="73" t="n">
        <v>46290</v>
      </c>
      <c r="G198" s="74" t="n">
        <f aca="false">Assumptions!$B$37</f>
        <v>64</v>
      </c>
      <c r="K198" s="68" t="n">
        <f aca="false">F198</f>
        <v>46290</v>
      </c>
      <c r="L198" s="77" t="n">
        <f aca="false">K198+IF(WEEKDAY(K198,2)=6,2,IF(WEEKDAY(K198,2)=7,1,0))</f>
        <v>46290</v>
      </c>
      <c r="M198" s="67" t="n">
        <f aca="false">G198</f>
        <v>64</v>
      </c>
      <c r="N198" s="78"/>
    </row>
    <row r="199" customFormat="false" ht="18" hidden="false" customHeight="true" outlineLevel="0" collapsed="false">
      <c r="A199" s="71"/>
      <c r="B199" s="70" t="s">
        <v>448</v>
      </c>
      <c r="C199" s="65"/>
      <c r="D199" s="72" t="s">
        <v>128</v>
      </c>
      <c r="E199" s="34" t="s">
        <v>445</v>
      </c>
      <c r="F199" s="73" t="n">
        <v>46320</v>
      </c>
      <c r="G199" s="74" t="n">
        <f aca="false">Assumptions!$B$37</f>
        <v>64</v>
      </c>
      <c r="K199" s="68" t="n">
        <f aca="false">F199</f>
        <v>46320</v>
      </c>
      <c r="L199" s="77" t="n">
        <f aca="false">K199+IF(WEEKDAY(K199,2)=6,2,IF(WEEKDAY(K199,2)=7,1,0))</f>
        <v>46321</v>
      </c>
      <c r="M199" s="67" t="n">
        <f aca="false">G199</f>
        <v>64</v>
      </c>
      <c r="N199" s="78" t="s">
        <v>449</v>
      </c>
    </row>
    <row r="200" customFormat="false" ht="18" hidden="false" customHeight="true" outlineLevel="0" collapsed="false">
      <c r="A200" s="71"/>
      <c r="B200" s="70" t="s">
        <v>450</v>
      </c>
      <c r="C200" s="65"/>
      <c r="D200" s="72" t="s">
        <v>128</v>
      </c>
      <c r="E200" s="34" t="s">
        <v>451</v>
      </c>
      <c r="F200" s="73" t="n">
        <v>46303</v>
      </c>
      <c r="G200" s="80" t="n">
        <v>118</v>
      </c>
      <c r="K200" s="68" t="n">
        <f aca="false">F200</f>
        <v>46303</v>
      </c>
      <c r="L200" s="77" t="n">
        <f aca="false">K200+IF(WEEKDAY(K200,2)=6,2,IF(WEEKDAY(K200,2)=7,1,0))</f>
        <v>46303</v>
      </c>
      <c r="M200" s="67" t="n">
        <f aca="false">G200</f>
        <v>118</v>
      </c>
      <c r="N200" s="78" t="s">
        <v>452</v>
      </c>
    </row>
    <row r="201" customFormat="false" ht="18" hidden="false" customHeight="true" outlineLevel="0" collapsed="false">
      <c r="A201" s="71"/>
      <c r="B201" s="70" t="s">
        <v>453</v>
      </c>
      <c r="C201" s="65"/>
      <c r="D201" s="72" t="s">
        <v>129</v>
      </c>
      <c r="E201" s="34" t="s">
        <v>454</v>
      </c>
      <c r="F201" s="73" t="n">
        <v>46254</v>
      </c>
      <c r="G201" s="74" t="n">
        <f aca="false">Assumptions!$B$38</f>
        <v>25</v>
      </c>
      <c r="K201" s="68" t="n">
        <f aca="false">F201</f>
        <v>46254</v>
      </c>
      <c r="L201" s="77" t="n">
        <f aca="false">K201+IF(WEEKDAY(K201,2)=6,2,IF(WEEKDAY(K201,2)=7,1,0))</f>
        <v>46254</v>
      </c>
      <c r="M201" s="67" t="n">
        <f aca="false">G201</f>
        <v>25</v>
      </c>
      <c r="N201" s="78" t="s">
        <v>455</v>
      </c>
    </row>
    <row r="202" customFormat="false" ht="12.75" hidden="false" customHeight="true" outlineLevel="0" collapsed="false">
      <c r="A202" s="71"/>
      <c r="B202" s="70" t="s">
        <v>456</v>
      </c>
      <c r="C202" s="65"/>
      <c r="D202" s="72" t="s">
        <v>129</v>
      </c>
      <c r="E202" s="34" t="s">
        <v>454</v>
      </c>
      <c r="F202" s="73" t="n">
        <v>46285</v>
      </c>
      <c r="G202" s="74" t="n">
        <f aca="false">Assumptions!$B$38</f>
        <v>25</v>
      </c>
      <c r="K202" s="68" t="n">
        <f aca="false">F202</f>
        <v>46285</v>
      </c>
      <c r="L202" s="77" t="n">
        <f aca="false">K202+IF(WEEKDAY(K202,2)=6,2,IF(WEEKDAY(K202,2)=7,1,0))</f>
        <v>46286</v>
      </c>
      <c r="M202" s="67" t="n">
        <f aca="false">G202</f>
        <v>25</v>
      </c>
      <c r="N202" s="78"/>
    </row>
    <row r="203" customFormat="false" ht="12.75" hidden="false" customHeight="true" outlineLevel="0" collapsed="false">
      <c r="A203" s="71"/>
      <c r="B203" s="70" t="s">
        <v>457</v>
      </c>
      <c r="C203" s="65"/>
      <c r="D203" s="72" t="s">
        <v>129</v>
      </c>
      <c r="E203" s="34" t="s">
        <v>454</v>
      </c>
      <c r="F203" s="73" t="n">
        <v>46315</v>
      </c>
      <c r="G203" s="74" t="n">
        <f aca="false">Assumptions!$B$38</f>
        <v>25</v>
      </c>
      <c r="K203" s="68" t="n">
        <f aca="false">F203</f>
        <v>46315</v>
      </c>
      <c r="L203" s="77" t="n">
        <f aca="false">K203+IF(WEEKDAY(K203,2)=6,2,IF(WEEKDAY(K203,2)=7,1,0))</f>
        <v>46315</v>
      </c>
      <c r="M203" s="67" t="n">
        <f aca="false">G203</f>
        <v>25</v>
      </c>
      <c r="N203" s="78"/>
    </row>
    <row r="204" customFormat="false" ht="18" hidden="false" customHeight="true" outlineLevel="0" collapsed="false">
      <c r="A204" s="71"/>
      <c r="B204" s="70" t="s">
        <v>458</v>
      </c>
      <c r="C204" s="65"/>
      <c r="D204" s="72" t="s">
        <v>126</v>
      </c>
      <c r="E204" s="34" t="s">
        <v>459</v>
      </c>
      <c r="F204" s="73" t="n">
        <v>46280</v>
      </c>
      <c r="G204" s="80" t="n">
        <v>96</v>
      </c>
      <c r="K204" s="68" t="n">
        <f aca="false">F204</f>
        <v>46280</v>
      </c>
      <c r="L204" s="77" t="n">
        <f aca="false">K204+IF(WEEKDAY(K204,2)=6,2,IF(WEEKDAY(K204,2)=7,1,0))</f>
        <v>46280</v>
      </c>
      <c r="M204" s="67" t="n">
        <f aca="false">G204</f>
        <v>96</v>
      </c>
      <c r="N204" s="78" t="s">
        <v>460</v>
      </c>
    </row>
    <row r="205" customFormat="false" ht="18" hidden="false" customHeight="true" outlineLevel="0" collapsed="false">
      <c r="A205" s="71"/>
      <c r="B205" s="70" t="s">
        <v>461</v>
      </c>
      <c r="C205" s="65"/>
      <c r="D205" s="72" t="s">
        <v>126</v>
      </c>
      <c r="E205" s="34" t="s">
        <v>462</v>
      </c>
      <c r="F205" s="73" t="n">
        <v>46315</v>
      </c>
      <c r="G205" s="80" t="n">
        <v>145</v>
      </c>
      <c r="K205" s="68" t="n">
        <f aca="false">F205</f>
        <v>46315</v>
      </c>
      <c r="L205" s="77" t="n">
        <f aca="false">K205+IF(WEEKDAY(K205,2)=6,2,IF(WEEKDAY(K205,2)=7,1,0))</f>
        <v>46315</v>
      </c>
      <c r="M205" s="67" t="n">
        <f aca="false">G205</f>
        <v>145</v>
      </c>
      <c r="N205" s="78" t="s">
        <v>463</v>
      </c>
    </row>
    <row r="206" customFormat="false" ht="18" hidden="false" customHeight="true" outlineLevel="0" collapsed="false">
      <c r="A206" s="71"/>
      <c r="B206" s="70" t="s">
        <v>464</v>
      </c>
      <c r="C206" s="65"/>
      <c r="D206" s="72" t="s">
        <v>126</v>
      </c>
      <c r="E206" s="34" t="s">
        <v>465</v>
      </c>
      <c r="F206" s="73" t="n">
        <v>46315</v>
      </c>
      <c r="G206" s="80" t="n">
        <v>38</v>
      </c>
      <c r="K206" s="68" t="n">
        <f aca="false">F206</f>
        <v>46315</v>
      </c>
      <c r="L206" s="77" t="n">
        <f aca="false">K206+IF(WEEKDAY(K206,2)=6,2,IF(WEEKDAY(K206,2)=7,1,0))</f>
        <v>46315</v>
      </c>
      <c r="M206" s="67" t="n">
        <f aca="false">G206</f>
        <v>38</v>
      </c>
      <c r="N206" s="78" t="s">
        <v>466</v>
      </c>
    </row>
    <row r="207" customFormat="false" ht="18" hidden="false" customHeight="true" outlineLevel="0" collapsed="false">
      <c r="A207" s="71"/>
      <c r="B207" s="70" t="s">
        <v>467</v>
      </c>
      <c r="C207" s="65"/>
      <c r="D207" s="72" t="s">
        <v>131</v>
      </c>
      <c r="E207" s="34" t="s">
        <v>468</v>
      </c>
      <c r="F207" s="73" t="n">
        <v>46295</v>
      </c>
      <c r="G207" s="74" t="n">
        <f aca="false">Assumptions!$B$45</f>
        <v>200</v>
      </c>
      <c r="K207" s="68" t="n">
        <f aca="false">F207</f>
        <v>46295</v>
      </c>
      <c r="L207" s="77" t="n">
        <f aca="false">K207+IF(WEEKDAY(K207,2)=6,2,IF(WEEKDAY(K207,2)=7,1,0))</f>
        <v>46295</v>
      </c>
      <c r="M207" s="67" t="n">
        <f aca="false">G207</f>
        <v>200</v>
      </c>
      <c r="N207" s="78" t="s">
        <v>469</v>
      </c>
    </row>
    <row r="208" customFormat="false" ht="18" hidden="false" customHeight="true" outlineLevel="0" collapsed="false">
      <c r="A208" s="71"/>
      <c r="B208" s="70" t="s">
        <v>470</v>
      </c>
      <c r="C208" s="65"/>
      <c r="D208" s="72" t="s">
        <v>129</v>
      </c>
      <c r="E208" s="34" t="s">
        <v>471</v>
      </c>
      <c r="F208" s="73" t="n">
        <v>46255</v>
      </c>
      <c r="G208" s="80" t="n">
        <v>310</v>
      </c>
      <c r="K208" s="68" t="n">
        <f aca="false">F208</f>
        <v>46255</v>
      </c>
      <c r="L208" s="77" t="n">
        <f aca="false">K208+IF(WEEKDAY(K208,2)=6,2,IF(WEEKDAY(K208,2)=7,1,0))</f>
        <v>46255</v>
      </c>
      <c r="M208" s="67" t="n">
        <f aca="false">G208</f>
        <v>310</v>
      </c>
      <c r="N208" s="78" t="s">
        <v>472</v>
      </c>
    </row>
    <row r="209" customFormat="false" ht="18" hidden="false" customHeight="true" outlineLevel="0" collapsed="false">
      <c r="A209" s="71"/>
      <c r="B209" s="70" t="s">
        <v>473</v>
      </c>
      <c r="C209" s="65"/>
      <c r="D209" s="72" t="s">
        <v>129</v>
      </c>
      <c r="E209" s="34" t="s">
        <v>471</v>
      </c>
      <c r="F209" s="73" t="n">
        <v>46304</v>
      </c>
      <c r="G209" s="80" t="n">
        <v>775</v>
      </c>
      <c r="K209" s="68" t="n">
        <f aca="false">F209+IF(Assumptions!$B$10=1,Assumptions!$B$50,0)</f>
        <v>46304</v>
      </c>
      <c r="L209" s="77" t="n">
        <f aca="false">K209+IF(WEEKDAY(K209,2)=6,2,IF(WEEKDAY(K209,2)=7,1,0))</f>
        <v>46304</v>
      </c>
      <c r="M209" s="67" t="n">
        <f aca="false">G209</f>
        <v>775</v>
      </c>
      <c r="N209" s="78" t="s">
        <v>474</v>
      </c>
    </row>
    <row r="210" customFormat="false" ht="18" hidden="false" customHeight="true" outlineLevel="0" collapsed="false">
      <c r="A210" s="71"/>
      <c r="B210" s="70" t="s">
        <v>475</v>
      </c>
      <c r="C210" s="65"/>
      <c r="D210" s="72" t="s">
        <v>129</v>
      </c>
      <c r="E210" s="34" t="s">
        <v>471</v>
      </c>
      <c r="F210" s="73" t="n">
        <v>46346</v>
      </c>
      <c r="G210" s="80" t="n">
        <v>465</v>
      </c>
      <c r="K210" s="68" t="n">
        <f aca="false">F210</f>
        <v>46346</v>
      </c>
      <c r="L210" s="77" t="n">
        <f aca="false">K210+IF(WEEKDAY(K210,2)=6,2,IF(WEEKDAY(K210,2)=7,1,0))</f>
        <v>46346</v>
      </c>
      <c r="M210" s="67" t="n">
        <f aca="false">G210</f>
        <v>465</v>
      </c>
      <c r="N210" s="78" t="s">
        <v>476</v>
      </c>
    </row>
    <row r="211" customFormat="false" ht="19.4" hidden="false" customHeight="false" outlineLevel="0" collapsed="false">
      <c r="B211" s="59" t="s">
        <v>477</v>
      </c>
      <c r="C211" s="60"/>
      <c r="D211" s="60"/>
      <c r="E211" s="60"/>
      <c r="F211" s="60"/>
      <c r="G211" s="63" t="n">
        <f aca="false">SUM(G185:G210)</f>
        <v>4428.9</v>
      </c>
      <c r="H211" s="60"/>
      <c r="I211" s="60"/>
      <c r="J211" s="60"/>
      <c r="K211" s="60"/>
      <c r="M211" s="63" t="n">
        <f aca="false">SUM(M185:M210)</f>
        <v>4428.9</v>
      </c>
      <c r="N211" s="64" t="s">
        <v>478</v>
      </c>
    </row>
  </sheetData>
  <mergeCells count="7">
    <mergeCell ref="A1:N1"/>
    <mergeCell ref="A2:N2"/>
    <mergeCell ref="A4:N4"/>
    <mergeCell ref="A15:N15"/>
    <mergeCell ref="A32:N32"/>
    <mergeCell ref="A75:N75"/>
    <mergeCell ref="A183:N183"/>
  </mergeCells>
  <printOptions headings="false" gridLines="false" gridLinesSet="true" horizontalCentered="false" verticalCentered="false"/>
  <pageMargins left="0.3" right="0.3" top="0.4" bottom="0.4" header="0.5" footer="0.5"/>
  <pageSetup paperSize="9" scale="100" fitToWidth="1" fitToHeight="0" pageOrder="downThenOver" orientation="landscape" blackAndWhite="false" draft="false" cellComments="none" horizontalDpi="300" verticalDpi="300" copies="1"/>
  <headerFooter differentFirst="false" differentOddEven="false">
    <oddHeader>&amp;L&amp;"Arial,Bold"&amp;9Halcyon Metalworks Kft.&amp;R&amp;"Arial,Regular"&amp;913-WEEK ROLLING CASH FLOW FORECAST</oddHeader>
    <oddFooter>&amp;L&amp;"Arial,Regular"&amp;8Illustrative sample - fictional data - prepared by Tarlan Charkasov, ACCA&amp;R&amp;"Arial,Regular"&amp;8Page &amp;P of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O1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46"/>
    <col collapsed="false" customWidth="true" hidden="false" outlineLevel="0" max="5" min="3" style="0" width="15"/>
    <col collapsed="false" customWidth="true" hidden="false" outlineLevel="0" max="6" min="6" style="0" width="13"/>
    <col collapsed="false" customWidth="true" hidden="false" outlineLevel="0" max="7" min="7" style="0" width="68"/>
  </cols>
  <sheetData>
    <row r="1" customFormat="false" ht="24" hidden="false" customHeight="true" outlineLevel="0" collapsed="false">
      <c r="A1" s="29" t="s">
        <v>479</v>
      </c>
      <c r="B1" s="29"/>
      <c r="C1" s="29"/>
      <c r="D1" s="29"/>
      <c r="E1" s="29"/>
      <c r="F1" s="29"/>
      <c r="G1" s="29"/>
    </row>
    <row r="2" customFormat="false" ht="15" hidden="false" customHeight="true" outlineLevel="0" collapsed="false">
      <c r="A2" s="48" t="s">
        <v>480</v>
      </c>
      <c r="B2" s="48"/>
      <c r="C2" s="48"/>
      <c r="D2" s="48"/>
      <c r="E2" s="48"/>
      <c r="F2" s="48"/>
      <c r="G2" s="48"/>
    </row>
    <row r="4" customFormat="false" ht="16.5" hidden="false" customHeight="true" outlineLevel="0" collapsed="false">
      <c r="A4" s="10" t="s">
        <v>481</v>
      </c>
      <c r="B4" s="10"/>
      <c r="C4" s="10"/>
      <c r="D4" s="10"/>
      <c r="E4" s="10"/>
      <c r="F4" s="10"/>
      <c r="G4" s="10"/>
    </row>
    <row r="5" customFormat="false" ht="27.75" hidden="false" customHeight="true" outlineLevel="0" collapsed="false">
      <c r="B5" s="12" t="s">
        <v>482</v>
      </c>
      <c r="C5" s="12" t="s">
        <v>483</v>
      </c>
      <c r="D5" s="12" t="s">
        <v>484</v>
      </c>
      <c r="E5" s="12" t="s">
        <v>485</v>
      </c>
      <c r="F5" s="12" t="s">
        <v>486</v>
      </c>
      <c r="G5" s="12" t="s">
        <v>9</v>
      </c>
    </row>
    <row r="6" customFormat="false" ht="15" hidden="false" customHeight="false" outlineLevel="0" collapsed="false">
      <c r="B6" s="84" t="s">
        <v>487</v>
      </c>
      <c r="C6" s="85" t="s">
        <v>488</v>
      </c>
      <c r="D6" s="85" t="s">
        <v>489</v>
      </c>
      <c r="E6" s="85" t="s">
        <v>490</v>
      </c>
      <c r="F6" s="86" t="str">
        <f aca="false">INDEX($C$6:$E$6,1,Assumptions!$B$8)</f>
        <v>Base</v>
      </c>
      <c r="G6" s="58" t="s">
        <v>491</v>
      </c>
    </row>
    <row r="7" customFormat="false" ht="25.5" hidden="false" customHeight="true" outlineLevel="0" collapsed="false">
      <c r="B7" s="38" t="s">
        <v>492</v>
      </c>
      <c r="C7" s="53" t="n">
        <v>1</v>
      </c>
      <c r="D7" s="53" t="n">
        <v>0.9</v>
      </c>
      <c r="E7" s="53" t="n">
        <v>1.05</v>
      </c>
      <c r="F7" s="87" t="n">
        <f aca="false">INDEX($C7:$E7,1,Assumptions!$B$8)</f>
        <v>1</v>
      </c>
      <c r="G7" s="58" t="s">
        <v>493</v>
      </c>
    </row>
    <row r="8" customFormat="false" ht="25.5" hidden="false" customHeight="true" outlineLevel="0" collapsed="false">
      <c r="B8" s="38" t="s">
        <v>494</v>
      </c>
      <c r="C8" s="54" t="n">
        <v>0</v>
      </c>
      <c r="D8" s="54" t="n">
        <v>10</v>
      </c>
      <c r="E8" s="54" t="n">
        <v>-5</v>
      </c>
      <c r="F8" s="88" t="n">
        <f aca="false">INDEX($C8:$E8,1,Assumptions!$B$8)</f>
        <v>0</v>
      </c>
      <c r="G8" s="58" t="s">
        <v>495</v>
      </c>
    </row>
    <row r="9" customFormat="false" ht="25.5" hidden="false" customHeight="true" outlineLevel="0" collapsed="false">
      <c r="B9" s="38" t="s">
        <v>496</v>
      </c>
      <c r="C9" s="54" t="n">
        <v>0</v>
      </c>
      <c r="D9" s="54" t="n">
        <v>30</v>
      </c>
      <c r="E9" s="54" t="n">
        <v>-14</v>
      </c>
      <c r="F9" s="88" t="n">
        <f aca="false">INDEX($C9:$E9,1,Assumptions!$B$8)</f>
        <v>0</v>
      </c>
      <c r="G9" s="58" t="s">
        <v>497</v>
      </c>
    </row>
    <row r="11" customFormat="false" ht="16.5" hidden="false" customHeight="true" outlineLevel="0" collapsed="false">
      <c r="A11" s="10" t="s">
        <v>498</v>
      </c>
      <c r="B11" s="10"/>
      <c r="C11" s="10"/>
      <c r="D11" s="10"/>
      <c r="E11" s="10"/>
      <c r="F11" s="10"/>
      <c r="G11" s="10"/>
    </row>
    <row r="12" customFormat="false" ht="27.75" hidden="false" customHeight="true" outlineLevel="0" collapsed="false">
      <c r="B12" s="12" t="s">
        <v>66</v>
      </c>
      <c r="C12" s="12" t="s">
        <v>499</v>
      </c>
      <c r="D12" s="12" t="s">
        <v>500</v>
      </c>
      <c r="E12" s="12" t="s">
        <v>501</v>
      </c>
      <c r="F12" s="12" t="s">
        <v>502</v>
      </c>
      <c r="G12" s="12"/>
    </row>
    <row r="13" customFormat="false" ht="25.5" hidden="false" customHeight="true" outlineLevel="0" collapsed="false">
      <c r="B13" s="38" t="s">
        <v>503</v>
      </c>
      <c r="C13" s="56" t="n">
        <f aca="false">'Payments Build'!$M$209</f>
        <v>775</v>
      </c>
      <c r="D13" s="51" t="s">
        <v>209</v>
      </c>
      <c r="E13" s="89" t="s">
        <v>504</v>
      </c>
      <c r="F13" s="90" t="s">
        <v>505</v>
      </c>
      <c r="G13" s="90"/>
    </row>
    <row r="14" customFormat="false" ht="25.5" hidden="false" customHeight="true" outlineLevel="0" collapsed="false">
      <c r="B14" s="38" t="s">
        <v>506</v>
      </c>
      <c r="C14" s="56" t="n">
        <f aca="false">SUMIFS('Receipts Build'!$G$103:$G$207,'Receipts Build'!$M$103:$M$207,"Y")*(1-Assumptions!$B$52)</f>
        <v>592.8988</v>
      </c>
      <c r="D14" s="51" t="s">
        <v>209</v>
      </c>
      <c r="E14" s="89" t="str">
        <f aca="false">"Fee "&amp;TEXT(SUMIFS('Receipts Build'!$G$103:$G$207,'Receipts Build'!$M$103:$M$207,"Y")*Assumptions!$B$52,"#,##0")&amp;"k"</f>
        <v>Fee 7k</v>
      </c>
      <c r="F14" s="90" t="s">
        <v>507</v>
      </c>
      <c r="G14" s="90"/>
    </row>
    <row r="15" customFormat="false" ht="25.5" hidden="false" customHeight="true" outlineLevel="0" collapsed="false">
      <c r="B15" s="38" t="s">
        <v>508</v>
      </c>
      <c r="C15" s="56" t="n">
        <f aca="false">SUMIFS('Payments Build'!$M$77:$M$180,'Payments Build'!$D$77:$D$180,"Raw material &amp; purchased parts")/13*15/7+SUMIFS('Payments Build'!$M$77:$M$180,'Payments Build'!$D$77:$D$180,"Subcontract &amp; surface treatment")/13*15/7</f>
        <v>672.214285714286</v>
      </c>
      <c r="D15" s="51" t="s">
        <v>509</v>
      </c>
      <c r="E15" s="89" t="s">
        <v>510</v>
      </c>
      <c r="F15" s="90" t="s">
        <v>511</v>
      </c>
      <c r="G15" s="90"/>
    </row>
    <row r="16" customFormat="false" ht="15" hidden="false" customHeight="false" outlineLevel="0" collapsed="false">
      <c r="B16" s="91" t="s">
        <v>512</v>
      </c>
      <c r="C16" s="63" t="n">
        <f aca="false">SUM(C13:C15)</f>
        <v>2040.11308571429</v>
      </c>
      <c r="D16" s="60"/>
      <c r="E16" s="60"/>
      <c r="F16" s="92" t="s">
        <v>513</v>
      </c>
      <c r="G16" s="92"/>
    </row>
    <row r="18" customFormat="false" ht="16.5" hidden="false" customHeight="true" outlineLevel="0" collapsed="false">
      <c r="A18" s="10" t="s">
        <v>514</v>
      </c>
      <c r="B18" s="10"/>
      <c r="C18" s="10"/>
      <c r="D18" s="10"/>
      <c r="E18" s="10"/>
      <c r="F18" s="10"/>
      <c r="G18" s="10"/>
    </row>
    <row r="19" customFormat="false" ht="24" hidden="false" customHeight="true" outlineLevel="0" collapsed="false">
      <c r="B19" s="90" t="s">
        <v>515</v>
      </c>
      <c r="C19" s="90"/>
      <c r="D19" s="90"/>
      <c r="E19" s="90"/>
      <c r="F19" s="90"/>
      <c r="G19" s="90"/>
    </row>
    <row r="20" customFormat="false" ht="27.75" hidden="false" customHeight="true" outlineLevel="0" collapsed="false">
      <c r="B20" s="12" t="s">
        <v>516</v>
      </c>
      <c r="C20" s="12" t="s">
        <v>517</v>
      </c>
      <c r="D20" s="12" t="s">
        <v>518</v>
      </c>
      <c r="E20" s="12" t="s">
        <v>145</v>
      </c>
      <c r="F20" s="12" t="s">
        <v>146</v>
      </c>
    </row>
    <row r="21" customFormat="false" ht="15" hidden="false" customHeight="false" outlineLevel="0" collapsed="false">
      <c r="B21" s="35" t="s">
        <v>519</v>
      </c>
      <c r="C21" s="56" t="n">
        <f aca="false">MIN($C$54:$O$54)</f>
        <v>1194.98032105882</v>
      </c>
      <c r="D21" s="51" t="str">
        <f aca="false">"W"&amp;MATCH(MIN($C$54:$O$54),$C$54:$O$54,0)</f>
        <v>W11</v>
      </c>
      <c r="E21" s="93" t="n">
        <f aca="false">C21-Assumptions!$B$18</f>
        <v>194.980321058825</v>
      </c>
      <c r="F21" s="94" t="str">
        <f aca="false">IF(E21&gt;=0,"pass","BREACH")</f>
        <v>pass</v>
      </c>
      <c r="G21" s="58" t="str">
        <f aca="false">"Reproduces the main grid: "&amp;IF(ROUND(C21,3)=ROUND(MIN('Weekly Cash Flow'!$B$47:$N$47),3),"agreed","DIFFERENCE")</f>
        <v>Reproduces the main grid: agreed</v>
      </c>
    </row>
    <row r="22" customFormat="false" ht="15" hidden="false" customHeight="false" outlineLevel="0" collapsed="false">
      <c r="B22" s="38" t="s">
        <v>520</v>
      </c>
      <c r="C22" s="56" t="n">
        <f aca="false">MIN($C$68:$O$68)</f>
        <v>1019.38032105882</v>
      </c>
      <c r="D22" s="51" t="str">
        <f aca="false">"W"&amp;MATCH(MIN($C$68:$O$68),$C$68:$O$68,0)</f>
        <v>W11</v>
      </c>
      <c r="E22" s="93" t="n">
        <f aca="false">C22-Assumptions!$B$18</f>
        <v>19.3803210588248</v>
      </c>
      <c r="F22" s="94" t="str">
        <f aca="false">IF(E22&gt;=0,"pass","BREACH")</f>
        <v>pass</v>
      </c>
      <c r="G22" s="58" t="str">
        <f aca="false">"At this level each further day of slippage costs about "&amp;TEXT((C21-C22)/3,"#,##0")&amp;"k of liquidity."</f>
        <v>At this level each further day of slippage costs about 59k of liquidity.</v>
      </c>
    </row>
    <row r="23" customFormat="false" ht="15" hidden="false" customHeight="false" outlineLevel="0" collapsed="false">
      <c r="B23" s="38" t="s">
        <v>521</v>
      </c>
      <c r="C23" s="56" t="n">
        <f aca="false">MIN($C$82:$O$82)</f>
        <v>928.380321058824</v>
      </c>
      <c r="D23" s="51" t="str">
        <f aca="false">"W"&amp;MATCH(MIN($C$82:$O$82),$C$82:$O$82,0)</f>
        <v>W11</v>
      </c>
      <c r="E23" s="93" t="n">
        <f aca="false">C23-Assumptions!$B$18</f>
        <v>-71.6196789411756</v>
      </c>
      <c r="F23" s="94" t="str">
        <f aca="false">IF(E23&gt;=0,"pass","BREACH")</f>
        <v>BREACH</v>
      </c>
      <c r="G23" s="58"/>
    </row>
    <row r="24" customFormat="false" ht="15" hidden="false" customHeight="false" outlineLevel="0" collapsed="false">
      <c r="B24" s="38" t="s">
        <v>522</v>
      </c>
      <c r="C24" s="56" t="n">
        <f aca="false">MIN($C$96:$O$96)</f>
        <v>399.880321058825</v>
      </c>
      <c r="D24" s="51" t="str">
        <f aca="false">"W"&amp;MATCH(MIN($C$96:$O$96),$C$96:$O$96,0)</f>
        <v>W11</v>
      </c>
      <c r="E24" s="93" t="n">
        <f aca="false">C24-Assumptions!$B$18</f>
        <v>-600.119678941175</v>
      </c>
      <c r="F24" s="94" t="str">
        <f aca="false">IF(E24&gt;=0,"pass","BREACH")</f>
        <v>BREACH</v>
      </c>
      <c r="G24" s="58"/>
    </row>
    <row r="25" customFormat="false" ht="15" hidden="false" customHeight="false" outlineLevel="0" collapsed="false">
      <c r="B25" s="38" t="s">
        <v>523</v>
      </c>
      <c r="C25" s="56" t="n">
        <f aca="false">MIN($C$110:$O$110)</f>
        <v>-26.6291666666668</v>
      </c>
      <c r="D25" s="51" t="str">
        <f aca="false">"W"&amp;MATCH(MIN($C$110:$O$110),$C$110:$O$110,0)</f>
        <v>W3</v>
      </c>
      <c r="E25" s="93" t="n">
        <f aca="false">C25-Assumptions!$B$18</f>
        <v>-1026.62916666667</v>
      </c>
      <c r="F25" s="94" t="str">
        <f aca="false">IF(E25&gt;=0,"pass","BREACH")</f>
        <v>BREACH</v>
      </c>
      <c r="G25" s="58"/>
    </row>
    <row r="27" customFormat="false" ht="16.5" hidden="false" customHeight="true" outlineLevel="0" collapsed="false">
      <c r="A27" s="10" t="s">
        <v>524</v>
      </c>
      <c r="B27" s="10"/>
      <c r="C27" s="10"/>
      <c r="D27" s="10"/>
      <c r="E27" s="10"/>
      <c r="F27" s="10"/>
      <c r="G27" s="10"/>
    </row>
    <row r="28" customFormat="false" ht="24" hidden="false" customHeight="true" outlineLevel="0" collapsed="false">
      <c r="B28" s="90" t="s">
        <v>525</v>
      </c>
      <c r="C28" s="90"/>
      <c r="D28" s="90"/>
      <c r="E28" s="90"/>
      <c r="F28" s="90"/>
      <c r="G28" s="90"/>
    </row>
    <row r="29" customFormat="false" ht="27.75" hidden="false" customHeight="true" outlineLevel="0" collapsed="false">
      <c r="B29" s="12" t="s">
        <v>526</v>
      </c>
      <c r="C29" s="12" t="s">
        <v>527</v>
      </c>
      <c r="D29" s="12" t="s">
        <v>517</v>
      </c>
      <c r="E29" s="12" t="s">
        <v>518</v>
      </c>
      <c r="F29" s="12" t="s">
        <v>145</v>
      </c>
      <c r="G29" s="12" t="s">
        <v>528</v>
      </c>
    </row>
    <row r="30" customFormat="false" ht="15" hidden="false" customHeight="false" outlineLevel="0" collapsed="false">
      <c r="B30" s="13" t="str">
        <f aca="false">INDEX($C$6:$E$6,1,1)</f>
        <v>Base</v>
      </c>
      <c r="C30" s="51" t="s">
        <v>529</v>
      </c>
      <c r="D30" s="56" t="n">
        <v>1195</v>
      </c>
      <c r="E30" s="51" t="s">
        <v>530</v>
      </c>
      <c r="F30" s="93" t="n">
        <v>195</v>
      </c>
      <c r="G30" s="95" t="str">
        <f aca="false">IF(AND(Assumptions!$B$8=1,Assumptions!$B$10=0),TEXT(MIN('Weekly Cash Flow'!$B$47:$N$47),"#,##0"),"")</f>
        <v>1,195</v>
      </c>
    </row>
    <row r="31" customFormat="false" ht="15" hidden="false" customHeight="false" outlineLevel="0" collapsed="false">
      <c r="B31" s="13" t="str">
        <f aca="false">INDEX($C$6:$E$6,1,1)</f>
        <v>Base</v>
      </c>
      <c r="C31" s="51" t="s">
        <v>531</v>
      </c>
      <c r="D31" s="56" t="n">
        <v>1733.7</v>
      </c>
      <c r="E31" s="51" t="s">
        <v>532</v>
      </c>
      <c r="F31" s="93" t="n">
        <v>733.7</v>
      </c>
      <c r="G31" s="95" t="str">
        <f aca="false">IF(AND(Assumptions!$B$8=1,Assumptions!$B$10=1),TEXT(MIN('Weekly Cash Flow'!$B$47:$N$47),"#,##0"),"")</f>
        <v/>
      </c>
    </row>
    <row r="32" customFormat="false" ht="15" hidden="false" customHeight="false" outlineLevel="0" collapsed="false">
      <c r="B32" s="13" t="str">
        <f aca="false">INDEX($C$6:$E$6,1,2)</f>
        <v>Downside</v>
      </c>
      <c r="C32" s="51" t="s">
        <v>529</v>
      </c>
      <c r="D32" s="56" t="n">
        <v>138.9</v>
      </c>
      <c r="E32" s="51" t="s">
        <v>533</v>
      </c>
      <c r="F32" s="93" t="n">
        <v>-861.1</v>
      </c>
      <c r="G32" s="95" t="str">
        <f aca="false">IF(AND(Assumptions!$B$8=2,Assumptions!$B$10=0),TEXT(MIN('Weekly Cash Flow'!$B$47:$N$47),"#,##0"),"")</f>
        <v/>
      </c>
    </row>
    <row r="33" customFormat="false" ht="15" hidden="false" customHeight="false" outlineLevel="0" collapsed="false">
      <c r="B33" s="13" t="str">
        <f aca="false">INDEX($C$6:$E$6,1,2)</f>
        <v>Downside</v>
      </c>
      <c r="C33" s="51" t="s">
        <v>531</v>
      </c>
      <c r="D33" s="56" t="n">
        <v>1065.6</v>
      </c>
      <c r="E33" s="51" t="s">
        <v>534</v>
      </c>
      <c r="F33" s="93" t="n">
        <v>65.6</v>
      </c>
      <c r="G33" s="95" t="str">
        <f aca="false">IF(AND(Assumptions!$B$8=2,Assumptions!$B$10=1),TEXT(MIN('Weekly Cash Flow'!$B$47:$N$47),"#,##0"),"")</f>
        <v/>
      </c>
    </row>
    <row r="34" customFormat="false" ht="15" hidden="false" customHeight="false" outlineLevel="0" collapsed="false">
      <c r="B34" s="13" t="str">
        <f aca="false">INDEX($C$6:$E$6,1,3)</f>
        <v>Upside</v>
      </c>
      <c r="C34" s="51" t="s">
        <v>529</v>
      </c>
      <c r="D34" s="56" t="n">
        <v>1755.4</v>
      </c>
      <c r="E34" s="51" t="s">
        <v>534</v>
      </c>
      <c r="F34" s="93" t="n">
        <v>755.4</v>
      </c>
      <c r="G34" s="95" t="str">
        <f aca="false">IF(AND(Assumptions!$B$8=3,Assumptions!$B$10=0),TEXT(MIN('Weekly Cash Flow'!$B$47:$N$47),"#,##0"),"")</f>
        <v/>
      </c>
    </row>
    <row r="35" customFormat="false" ht="15" hidden="false" customHeight="false" outlineLevel="0" collapsed="false">
      <c r="B35" s="13" t="str">
        <f aca="false">INDEX($C$6:$E$6,1,3)</f>
        <v>Upside</v>
      </c>
      <c r="C35" s="51" t="s">
        <v>531</v>
      </c>
      <c r="D35" s="56" t="n">
        <v>2176.3</v>
      </c>
      <c r="E35" s="51" t="s">
        <v>532</v>
      </c>
      <c r="F35" s="93" t="n">
        <v>1176.3</v>
      </c>
      <c r="G35" s="95" t="str">
        <f aca="false">IF(AND(Assumptions!$B$8=3,Assumptions!$B$10=1),TEXT(MIN('Weekly Cash Flow'!$B$47:$N$47),"#,##0"),"")</f>
        <v/>
      </c>
    </row>
    <row r="36" customFormat="false" ht="24" hidden="false" customHeight="true" outlineLevel="0" collapsed="false">
      <c r="B36" s="96" t="s">
        <v>535</v>
      </c>
      <c r="C36" s="96"/>
      <c r="D36" s="96"/>
      <c r="E36" s="96"/>
      <c r="F36" s="96"/>
      <c r="G36" s="96"/>
    </row>
    <row r="39" customFormat="false" ht="16.5" hidden="false" customHeight="true" outlineLevel="0" collapsed="false">
      <c r="A39" s="10" t="s">
        <v>536</v>
      </c>
      <c r="B39" s="10"/>
      <c r="C39" s="10"/>
      <c r="D39" s="10"/>
      <c r="E39" s="10"/>
      <c r="F39" s="10"/>
      <c r="G39" s="10"/>
    </row>
    <row r="40" customFormat="false" ht="24" hidden="false" customHeight="true" outlineLevel="0" collapsed="false">
      <c r="B40" s="90" t="s">
        <v>537</v>
      </c>
      <c r="C40" s="90"/>
      <c r="D40" s="90"/>
      <c r="E40" s="90"/>
      <c r="F40" s="90"/>
      <c r="G40" s="90"/>
    </row>
    <row r="42" customFormat="false" ht="13.5" hidden="false" customHeight="true" outlineLevel="0" collapsed="false">
      <c r="A42" s="97" t="s">
        <v>538</v>
      </c>
      <c r="B42" s="97"/>
      <c r="C42" s="97"/>
      <c r="D42" s="97"/>
      <c r="E42" s="97"/>
      <c r="F42" s="97"/>
      <c r="G42" s="97"/>
    </row>
    <row r="43" customFormat="false" ht="15" hidden="false" customHeight="false" outlineLevel="0" collapsed="false">
      <c r="A43" s="98"/>
      <c r="B43" s="99" t="s">
        <v>103</v>
      </c>
      <c r="C43" s="100" t="n">
        <v>1</v>
      </c>
      <c r="D43" s="100" t="n">
        <v>2</v>
      </c>
      <c r="E43" s="100" t="n">
        <v>3</v>
      </c>
      <c r="F43" s="100" t="n">
        <v>4</v>
      </c>
      <c r="G43" s="100" t="n">
        <v>5</v>
      </c>
      <c r="H43" s="100" t="n">
        <v>6</v>
      </c>
      <c r="I43" s="100" t="n">
        <v>7</v>
      </c>
      <c r="J43" s="100" t="n">
        <v>8</v>
      </c>
      <c r="K43" s="100" t="n">
        <v>9</v>
      </c>
      <c r="L43" s="100" t="n">
        <v>10</v>
      </c>
      <c r="M43" s="100" t="n">
        <v>11</v>
      </c>
      <c r="N43" s="100" t="n">
        <v>12</v>
      </c>
      <c r="O43" s="100" t="n">
        <v>13</v>
      </c>
    </row>
    <row r="44" customFormat="false" ht="12" hidden="false" customHeight="true" outlineLevel="0" collapsed="false">
      <c r="B44" s="101" t="s">
        <v>539</v>
      </c>
      <c r="C44" s="102" t="n">
        <f aca="false">SUMIFS('Receipts Build'!$O$34:$O$98,'Receipts Build'!$Q$34:$Q$98,"Trade",'Receipts Build'!$N$34:$N$98,"&gt;="&amp;'Weekly Cash Flow'!B$5-0,'Receipts Build'!$N$34:$N$98,"&lt;="&amp;'Weekly Cash Flow'!B$6-0)+SUMIFS('Receipts Build'!$O$103:$O$207,'Receipts Build'!$Q$103:$Q$207,"Trade",'Receipts Build'!$N$103:$N$207,"&gt;="&amp;'Weekly Cash Flow'!B$5-0,'Receipts Build'!$N$103:$N$207,"&lt;="&amp;'Weekly Cash Flow'!B$6-0)</f>
        <v>240.8</v>
      </c>
      <c r="D44" s="102" t="n">
        <f aca="false">SUMIFS('Receipts Build'!$O$34:$O$98,'Receipts Build'!$Q$34:$Q$98,"Trade",'Receipts Build'!$N$34:$N$98,"&gt;="&amp;'Weekly Cash Flow'!C$5-0,'Receipts Build'!$N$34:$N$98,"&lt;="&amp;'Weekly Cash Flow'!C$6-0)+SUMIFS('Receipts Build'!$O$103:$O$207,'Receipts Build'!$Q$103:$Q$207,"Trade",'Receipts Build'!$N$103:$N$207,"&gt;="&amp;'Weekly Cash Flow'!C$5-0,'Receipts Build'!$N$103:$N$207,"&lt;="&amp;'Weekly Cash Flow'!C$6-0)</f>
        <v>689.4</v>
      </c>
      <c r="E44" s="102" t="n">
        <f aca="false">SUMIFS('Receipts Build'!$O$34:$O$98,'Receipts Build'!$Q$34:$Q$98,"Trade",'Receipts Build'!$N$34:$N$98,"&gt;="&amp;'Weekly Cash Flow'!D$5-0,'Receipts Build'!$N$34:$N$98,"&lt;="&amp;'Weekly Cash Flow'!D$6-0)+SUMIFS('Receipts Build'!$O$103:$O$207,'Receipts Build'!$Q$103:$Q$207,"Trade",'Receipts Build'!$N$103:$N$207,"&gt;="&amp;'Weekly Cash Flow'!D$5-0,'Receipts Build'!$N$103:$N$207,"&lt;="&amp;'Weekly Cash Flow'!D$6-0)</f>
        <v>656.5</v>
      </c>
      <c r="F44" s="102" t="n">
        <f aca="false">SUMIFS('Receipts Build'!$O$34:$O$98,'Receipts Build'!$Q$34:$Q$98,"Trade",'Receipts Build'!$N$34:$N$98,"&gt;="&amp;'Weekly Cash Flow'!E$5-0,'Receipts Build'!$N$34:$N$98,"&lt;="&amp;'Weekly Cash Flow'!E$6-0)+SUMIFS('Receipts Build'!$O$103:$O$207,'Receipts Build'!$Q$103:$Q$207,"Trade",'Receipts Build'!$N$103:$N$207,"&gt;="&amp;'Weekly Cash Flow'!E$5-0,'Receipts Build'!$N$103:$N$207,"&lt;="&amp;'Weekly Cash Flow'!E$6-0)</f>
        <v>710.2</v>
      </c>
      <c r="G44" s="102" t="n">
        <f aca="false">SUMIFS('Receipts Build'!$O$34:$O$98,'Receipts Build'!$Q$34:$Q$98,"Trade",'Receipts Build'!$N$34:$N$98,"&gt;="&amp;'Weekly Cash Flow'!F$5-0,'Receipts Build'!$N$34:$N$98,"&lt;="&amp;'Weekly Cash Flow'!F$6-0)+SUMIFS('Receipts Build'!$O$103:$O$207,'Receipts Build'!$Q$103:$Q$207,"Trade",'Receipts Build'!$N$103:$N$207,"&gt;="&amp;'Weekly Cash Flow'!F$5-0,'Receipts Build'!$N$103:$N$207,"&lt;="&amp;'Weekly Cash Flow'!F$6-0)</f>
        <v>664.1</v>
      </c>
      <c r="H44" s="102" t="n">
        <f aca="false">SUMIFS('Receipts Build'!$O$34:$O$98,'Receipts Build'!$Q$34:$Q$98,"Trade",'Receipts Build'!$N$34:$N$98,"&gt;="&amp;'Weekly Cash Flow'!G$5-0,'Receipts Build'!$N$34:$N$98,"&lt;="&amp;'Weekly Cash Flow'!G$6-0)+SUMIFS('Receipts Build'!$O$103:$O$207,'Receipts Build'!$Q$103:$Q$207,"Trade",'Receipts Build'!$N$103:$N$207,"&gt;="&amp;'Weekly Cash Flow'!G$5-0,'Receipts Build'!$N$103:$N$207,"&lt;="&amp;'Weekly Cash Flow'!G$6-0)</f>
        <v>683.1</v>
      </c>
      <c r="I44" s="102" t="n">
        <f aca="false">SUMIFS('Receipts Build'!$O$34:$O$98,'Receipts Build'!$Q$34:$Q$98,"Trade",'Receipts Build'!$N$34:$N$98,"&gt;="&amp;'Weekly Cash Flow'!H$5-0,'Receipts Build'!$N$34:$N$98,"&lt;="&amp;'Weekly Cash Flow'!H$6-0)+SUMIFS('Receipts Build'!$O$103:$O$207,'Receipts Build'!$Q$103:$Q$207,"Trade",'Receipts Build'!$N$103:$N$207,"&gt;="&amp;'Weekly Cash Flow'!H$5-0,'Receipts Build'!$N$103:$N$207,"&lt;="&amp;'Weekly Cash Flow'!H$6-0)</f>
        <v>652.6</v>
      </c>
      <c r="J44" s="102" t="n">
        <f aca="false">SUMIFS('Receipts Build'!$O$34:$O$98,'Receipts Build'!$Q$34:$Q$98,"Trade",'Receipts Build'!$N$34:$N$98,"&gt;="&amp;'Weekly Cash Flow'!I$5-0,'Receipts Build'!$N$34:$N$98,"&lt;="&amp;'Weekly Cash Flow'!I$6-0)+SUMIFS('Receipts Build'!$O$103:$O$207,'Receipts Build'!$Q$103:$Q$207,"Trade",'Receipts Build'!$N$103:$N$207,"&gt;="&amp;'Weekly Cash Flow'!I$5-0,'Receipts Build'!$N$103:$N$207,"&lt;="&amp;'Weekly Cash Flow'!I$6-0)</f>
        <v>425</v>
      </c>
      <c r="K44" s="102" t="n">
        <f aca="false">SUMIFS('Receipts Build'!$O$34:$O$98,'Receipts Build'!$Q$34:$Q$98,"Trade",'Receipts Build'!$N$34:$N$98,"&gt;="&amp;'Weekly Cash Flow'!J$5-0,'Receipts Build'!$N$34:$N$98,"&lt;="&amp;'Weekly Cash Flow'!J$6-0)+SUMIFS('Receipts Build'!$O$103:$O$207,'Receipts Build'!$Q$103:$Q$207,"Trade",'Receipts Build'!$N$103:$N$207,"&gt;="&amp;'Weekly Cash Flow'!J$5-0,'Receipts Build'!$N$103:$N$207,"&lt;="&amp;'Weekly Cash Flow'!J$6-0)</f>
        <v>575.1</v>
      </c>
      <c r="L44" s="102" t="n">
        <f aca="false">SUMIFS('Receipts Build'!$O$34:$O$98,'Receipts Build'!$Q$34:$Q$98,"Trade",'Receipts Build'!$N$34:$N$98,"&gt;="&amp;'Weekly Cash Flow'!K$5-0,'Receipts Build'!$N$34:$N$98,"&lt;="&amp;'Weekly Cash Flow'!K$6-0)+SUMIFS('Receipts Build'!$O$103:$O$207,'Receipts Build'!$Q$103:$Q$207,"Trade",'Receipts Build'!$N$103:$N$207,"&gt;="&amp;'Weekly Cash Flow'!K$5-0,'Receipts Build'!$N$103:$N$207,"&lt;="&amp;'Weekly Cash Flow'!K$6-0)</f>
        <v>372.2</v>
      </c>
      <c r="M44" s="102" t="n">
        <f aca="false">SUMIFS('Receipts Build'!$O$34:$O$98,'Receipts Build'!$Q$34:$Q$98,"Trade",'Receipts Build'!$N$34:$N$98,"&gt;="&amp;'Weekly Cash Flow'!L$5-0,'Receipts Build'!$N$34:$N$98,"&lt;="&amp;'Weekly Cash Flow'!L$6-0)+SUMIFS('Receipts Build'!$O$103:$O$207,'Receipts Build'!$Q$103:$Q$207,"Trade",'Receipts Build'!$N$103:$N$207,"&gt;="&amp;'Weekly Cash Flow'!L$5-0,'Receipts Build'!$N$103:$N$207,"&lt;="&amp;'Weekly Cash Flow'!L$6-0)</f>
        <v>643.9</v>
      </c>
      <c r="N44" s="102" t="n">
        <f aca="false">SUMIFS('Receipts Build'!$O$34:$O$98,'Receipts Build'!$Q$34:$Q$98,"Trade",'Receipts Build'!$N$34:$N$98,"&gt;="&amp;'Weekly Cash Flow'!M$5-0,'Receipts Build'!$N$34:$N$98,"&lt;="&amp;'Weekly Cash Flow'!M$6-0)+SUMIFS('Receipts Build'!$O$103:$O$207,'Receipts Build'!$Q$103:$Q$207,"Trade",'Receipts Build'!$N$103:$N$207,"&gt;="&amp;'Weekly Cash Flow'!M$5-0,'Receipts Build'!$N$103:$N$207,"&lt;="&amp;'Weekly Cash Flow'!M$6-0)</f>
        <v>678.3</v>
      </c>
      <c r="O44" s="102" t="n">
        <f aca="false">SUMIFS('Receipts Build'!$O$34:$O$98,'Receipts Build'!$Q$34:$Q$98,"Trade",'Receipts Build'!$N$34:$N$98,"&gt;="&amp;'Weekly Cash Flow'!N$5-0,'Receipts Build'!$N$34:$N$98,"&lt;="&amp;'Weekly Cash Flow'!N$6-0)+SUMIFS('Receipts Build'!$O$103:$O$207,'Receipts Build'!$Q$103:$Q$207,"Trade",'Receipts Build'!$N$103:$N$207,"&gt;="&amp;'Weekly Cash Flow'!N$5-0,'Receipts Build'!$N$103:$N$207,"&lt;="&amp;'Weekly Cash Flow'!N$6-0)</f>
        <v>548.2</v>
      </c>
    </row>
    <row r="45" customFormat="false" ht="12" hidden="false" customHeight="true" outlineLevel="0" collapsed="false">
      <c r="B45" s="101" t="s">
        <v>540</v>
      </c>
      <c r="C45" s="102" t="n">
        <f aca="false">SUMIFS('Receipts Build'!$O$34:$O$98,'Receipts Build'!$Q$34:$Q$98,"Fixed",'Receipts Build'!$N$34:$N$98,"&gt;="&amp;'Weekly Cash Flow'!B$5,'Receipts Build'!$N$34:$N$98,"&lt;="&amp;'Weekly Cash Flow'!B$6)+SUMIFS('Receipts Build'!$O$103:$O$207,'Receipts Build'!$Q$103:$Q$207,"Fixed",'Receipts Build'!$N$103:$N$207,"&gt;="&amp;'Weekly Cash Flow'!B$5,'Receipts Build'!$N$103:$N$207,"&lt;="&amp;'Weekly Cash Flow'!B$6)+SUMIFS('Receipts Build'!$O$212:$O$215,'Receipts Build'!$Q$212:$Q$215,"Fixed",'Receipts Build'!$N$212:$N$215,"&gt;="&amp;'Weekly Cash Flow'!B$5,'Receipts Build'!$N$212:$N$215,"&lt;="&amp;'Weekly Cash Flow'!B$6)</f>
        <v>462.3</v>
      </c>
      <c r="D45" s="102" t="n">
        <f aca="false">SUMIFS('Receipts Build'!$O$34:$O$98,'Receipts Build'!$Q$34:$Q$98,"Fixed",'Receipts Build'!$N$34:$N$98,"&gt;="&amp;'Weekly Cash Flow'!C$5,'Receipts Build'!$N$34:$N$98,"&lt;="&amp;'Weekly Cash Flow'!C$6)+SUMIFS('Receipts Build'!$O$103:$O$207,'Receipts Build'!$Q$103:$Q$207,"Fixed",'Receipts Build'!$N$103:$N$207,"&gt;="&amp;'Weekly Cash Flow'!C$5,'Receipts Build'!$N$103:$N$207,"&lt;="&amp;'Weekly Cash Flow'!C$6)+SUMIFS('Receipts Build'!$O$212:$O$215,'Receipts Build'!$Q$212:$Q$215,"Fixed",'Receipts Build'!$N$212:$N$215,"&gt;="&amp;'Weekly Cash Flow'!C$5,'Receipts Build'!$N$212:$N$215,"&lt;="&amp;'Weekly Cash Flow'!C$6)</f>
        <v>0</v>
      </c>
      <c r="E45" s="102" t="n">
        <f aca="false">SUMIFS('Receipts Build'!$O$34:$O$98,'Receipts Build'!$Q$34:$Q$98,"Fixed",'Receipts Build'!$N$34:$N$98,"&gt;="&amp;'Weekly Cash Flow'!D$5,'Receipts Build'!$N$34:$N$98,"&lt;="&amp;'Weekly Cash Flow'!D$6)+SUMIFS('Receipts Build'!$O$103:$O$207,'Receipts Build'!$Q$103:$Q$207,"Fixed",'Receipts Build'!$N$103:$N$207,"&gt;="&amp;'Weekly Cash Flow'!D$5,'Receipts Build'!$N$103:$N$207,"&lt;="&amp;'Weekly Cash Flow'!D$6)+SUMIFS('Receipts Build'!$O$212:$O$215,'Receipts Build'!$Q$212:$Q$215,"Fixed",'Receipts Build'!$N$212:$N$215,"&gt;="&amp;'Weekly Cash Flow'!D$5,'Receipts Build'!$N$212:$N$215,"&lt;="&amp;'Weekly Cash Flow'!D$6)</f>
        <v>28</v>
      </c>
      <c r="F45" s="102" t="n">
        <f aca="false">SUMIFS('Receipts Build'!$O$34:$O$98,'Receipts Build'!$Q$34:$Q$98,"Fixed",'Receipts Build'!$N$34:$N$98,"&gt;="&amp;'Weekly Cash Flow'!E$5,'Receipts Build'!$N$34:$N$98,"&lt;="&amp;'Weekly Cash Flow'!E$6)+SUMIFS('Receipts Build'!$O$103:$O$207,'Receipts Build'!$Q$103:$Q$207,"Fixed",'Receipts Build'!$N$103:$N$207,"&gt;="&amp;'Weekly Cash Flow'!E$5,'Receipts Build'!$N$103:$N$207,"&lt;="&amp;'Weekly Cash Flow'!E$6)+SUMIFS('Receipts Build'!$O$212:$O$215,'Receipts Build'!$Q$212:$Q$215,"Fixed",'Receipts Build'!$N$212:$N$215,"&gt;="&amp;'Weekly Cash Flow'!E$5,'Receipts Build'!$N$212:$N$215,"&lt;="&amp;'Weekly Cash Flow'!E$6)</f>
        <v>169.3</v>
      </c>
      <c r="G45" s="102" t="n">
        <f aca="false">SUMIFS('Receipts Build'!$O$34:$O$98,'Receipts Build'!$Q$34:$Q$98,"Fixed",'Receipts Build'!$N$34:$N$98,"&gt;="&amp;'Weekly Cash Flow'!F$5,'Receipts Build'!$N$34:$N$98,"&lt;="&amp;'Weekly Cash Flow'!F$6)+SUMIFS('Receipts Build'!$O$103:$O$207,'Receipts Build'!$Q$103:$Q$207,"Fixed",'Receipts Build'!$N$103:$N$207,"&gt;="&amp;'Weekly Cash Flow'!F$5,'Receipts Build'!$N$103:$N$207,"&lt;="&amp;'Weekly Cash Flow'!F$6)+SUMIFS('Receipts Build'!$O$212:$O$215,'Receipts Build'!$Q$212:$Q$215,"Fixed",'Receipts Build'!$N$212:$N$215,"&gt;="&amp;'Weekly Cash Flow'!F$5,'Receipts Build'!$N$212:$N$215,"&lt;="&amp;'Weekly Cash Flow'!F$6)</f>
        <v>0</v>
      </c>
      <c r="H45" s="102" t="n">
        <f aca="false">SUMIFS('Receipts Build'!$O$34:$O$98,'Receipts Build'!$Q$34:$Q$98,"Fixed",'Receipts Build'!$N$34:$N$98,"&gt;="&amp;'Weekly Cash Flow'!G$5,'Receipts Build'!$N$34:$N$98,"&lt;="&amp;'Weekly Cash Flow'!G$6)+SUMIFS('Receipts Build'!$O$103:$O$207,'Receipts Build'!$Q$103:$Q$207,"Fixed",'Receipts Build'!$N$103:$N$207,"&gt;="&amp;'Weekly Cash Flow'!G$5,'Receipts Build'!$N$103:$N$207,"&lt;="&amp;'Weekly Cash Flow'!G$6)+SUMIFS('Receipts Build'!$O$212:$O$215,'Receipts Build'!$Q$212:$Q$215,"Fixed",'Receipts Build'!$N$212:$N$215,"&gt;="&amp;'Weekly Cash Flow'!G$5,'Receipts Build'!$N$212:$N$215,"&lt;="&amp;'Weekly Cash Flow'!G$6)</f>
        <v>0</v>
      </c>
      <c r="I45" s="102" t="n">
        <f aca="false">SUMIFS('Receipts Build'!$O$34:$O$98,'Receipts Build'!$Q$34:$Q$98,"Fixed",'Receipts Build'!$N$34:$N$98,"&gt;="&amp;'Weekly Cash Flow'!H$5,'Receipts Build'!$N$34:$N$98,"&lt;="&amp;'Weekly Cash Flow'!H$6)+SUMIFS('Receipts Build'!$O$103:$O$207,'Receipts Build'!$Q$103:$Q$207,"Fixed",'Receipts Build'!$N$103:$N$207,"&gt;="&amp;'Weekly Cash Flow'!H$5,'Receipts Build'!$N$103:$N$207,"&lt;="&amp;'Weekly Cash Flow'!H$6)+SUMIFS('Receipts Build'!$O$212:$O$215,'Receipts Build'!$Q$212:$Q$215,"Fixed",'Receipts Build'!$N$212:$N$215,"&gt;="&amp;'Weekly Cash Flow'!H$5,'Receipts Build'!$N$212:$N$215,"&lt;="&amp;'Weekly Cash Flow'!H$6)</f>
        <v>0</v>
      </c>
      <c r="J45" s="102" t="n">
        <f aca="false">SUMIFS('Receipts Build'!$O$34:$O$98,'Receipts Build'!$Q$34:$Q$98,"Fixed",'Receipts Build'!$N$34:$N$98,"&gt;="&amp;'Weekly Cash Flow'!I$5,'Receipts Build'!$N$34:$N$98,"&lt;="&amp;'Weekly Cash Flow'!I$6)+SUMIFS('Receipts Build'!$O$103:$O$207,'Receipts Build'!$Q$103:$Q$207,"Fixed",'Receipts Build'!$N$103:$N$207,"&gt;="&amp;'Weekly Cash Flow'!I$5,'Receipts Build'!$N$103:$N$207,"&lt;="&amp;'Weekly Cash Flow'!I$6)+SUMIFS('Receipts Build'!$O$212:$O$215,'Receipts Build'!$Q$212:$Q$215,"Fixed",'Receipts Build'!$N$212:$N$215,"&gt;="&amp;'Weekly Cash Flow'!I$5,'Receipts Build'!$N$212:$N$215,"&lt;="&amp;'Weekly Cash Flow'!I$6)</f>
        <v>172.3</v>
      </c>
      <c r="K45" s="102" t="n">
        <f aca="false">SUMIFS('Receipts Build'!$O$34:$O$98,'Receipts Build'!$Q$34:$Q$98,"Fixed",'Receipts Build'!$N$34:$N$98,"&gt;="&amp;'Weekly Cash Flow'!J$5,'Receipts Build'!$N$34:$N$98,"&lt;="&amp;'Weekly Cash Flow'!J$6)+SUMIFS('Receipts Build'!$O$103:$O$207,'Receipts Build'!$Q$103:$Q$207,"Fixed",'Receipts Build'!$N$103:$N$207,"&gt;="&amp;'Weekly Cash Flow'!J$5,'Receipts Build'!$N$103:$N$207,"&lt;="&amp;'Weekly Cash Flow'!J$6)+SUMIFS('Receipts Build'!$O$212:$O$215,'Receipts Build'!$Q$212:$Q$215,"Fixed",'Receipts Build'!$N$212:$N$215,"&gt;="&amp;'Weekly Cash Flow'!J$5,'Receipts Build'!$N$212:$N$215,"&lt;="&amp;'Weekly Cash Flow'!J$6)</f>
        <v>0</v>
      </c>
      <c r="L45" s="102" t="n">
        <f aca="false">SUMIFS('Receipts Build'!$O$34:$O$98,'Receipts Build'!$Q$34:$Q$98,"Fixed",'Receipts Build'!$N$34:$N$98,"&gt;="&amp;'Weekly Cash Flow'!K$5,'Receipts Build'!$N$34:$N$98,"&lt;="&amp;'Weekly Cash Flow'!K$6)+SUMIFS('Receipts Build'!$O$103:$O$207,'Receipts Build'!$Q$103:$Q$207,"Fixed",'Receipts Build'!$N$103:$N$207,"&gt;="&amp;'Weekly Cash Flow'!K$5,'Receipts Build'!$N$103:$N$207,"&lt;="&amp;'Weekly Cash Flow'!K$6)+SUMIFS('Receipts Build'!$O$212:$O$215,'Receipts Build'!$Q$212:$Q$215,"Fixed",'Receipts Build'!$N$212:$N$215,"&gt;="&amp;'Weekly Cash Flow'!K$5,'Receipts Build'!$N$212:$N$215,"&lt;="&amp;'Weekly Cash Flow'!K$6)</f>
        <v>0</v>
      </c>
      <c r="M45" s="102" t="n">
        <f aca="false">SUMIFS('Receipts Build'!$O$34:$O$98,'Receipts Build'!$Q$34:$Q$98,"Fixed",'Receipts Build'!$N$34:$N$98,"&gt;="&amp;'Weekly Cash Flow'!L$5,'Receipts Build'!$N$34:$N$98,"&lt;="&amp;'Weekly Cash Flow'!L$6)+SUMIFS('Receipts Build'!$O$103:$O$207,'Receipts Build'!$Q$103:$Q$207,"Fixed",'Receipts Build'!$N$103:$N$207,"&gt;="&amp;'Weekly Cash Flow'!L$5,'Receipts Build'!$N$103:$N$207,"&lt;="&amp;'Weekly Cash Flow'!L$6)+SUMIFS('Receipts Build'!$O$212:$O$215,'Receipts Build'!$Q$212:$Q$215,"Fixed",'Receipts Build'!$N$212:$N$215,"&gt;="&amp;'Weekly Cash Flow'!L$5,'Receipts Build'!$N$212:$N$215,"&lt;="&amp;'Weekly Cash Flow'!L$6)</f>
        <v>0</v>
      </c>
      <c r="N45" s="102" t="n">
        <f aca="false">SUMIFS('Receipts Build'!$O$34:$O$98,'Receipts Build'!$Q$34:$Q$98,"Fixed",'Receipts Build'!$N$34:$N$98,"&gt;="&amp;'Weekly Cash Flow'!M$5,'Receipts Build'!$N$34:$N$98,"&lt;="&amp;'Weekly Cash Flow'!M$6)+SUMIFS('Receipts Build'!$O$103:$O$207,'Receipts Build'!$Q$103:$Q$207,"Fixed",'Receipts Build'!$N$103:$N$207,"&gt;="&amp;'Weekly Cash Flow'!M$5,'Receipts Build'!$N$103:$N$207,"&lt;="&amp;'Weekly Cash Flow'!M$6)+SUMIFS('Receipts Build'!$O$212:$O$215,'Receipts Build'!$Q$212:$Q$215,"Fixed",'Receipts Build'!$N$212:$N$215,"&gt;="&amp;'Weekly Cash Flow'!M$5,'Receipts Build'!$N$212:$N$215,"&lt;="&amp;'Weekly Cash Flow'!M$6)</f>
        <v>689.4</v>
      </c>
      <c r="O45" s="102" t="n">
        <f aca="false">SUMIFS('Receipts Build'!$O$34:$O$98,'Receipts Build'!$Q$34:$Q$98,"Fixed",'Receipts Build'!$N$34:$N$98,"&gt;="&amp;'Weekly Cash Flow'!N$5,'Receipts Build'!$N$34:$N$98,"&lt;="&amp;'Weekly Cash Flow'!N$6)+SUMIFS('Receipts Build'!$O$103:$O$207,'Receipts Build'!$Q$103:$Q$207,"Fixed",'Receipts Build'!$N$103:$N$207,"&gt;="&amp;'Weekly Cash Flow'!N$5,'Receipts Build'!$N$103:$N$207,"&lt;="&amp;'Weekly Cash Flow'!N$6)+SUMIFS('Receipts Build'!$O$212:$O$215,'Receipts Build'!$Q$212:$Q$215,"Fixed",'Receipts Build'!$N$212:$N$215,"&gt;="&amp;'Weekly Cash Flow'!N$5,'Receipts Build'!$N$212:$N$215,"&lt;="&amp;'Weekly Cash Flow'!N$6)</f>
        <v>160.3</v>
      </c>
    </row>
    <row r="46" customFormat="false" ht="12" hidden="false" customHeight="true" outlineLevel="0" collapsed="false">
      <c r="B46" s="101" t="s">
        <v>117</v>
      </c>
      <c r="C46" s="102" t="n">
        <f aca="false">C44+C45</f>
        <v>703.1</v>
      </c>
      <c r="D46" s="102" t="n">
        <f aca="false">D44+D45</f>
        <v>689.4</v>
      </c>
      <c r="E46" s="102" t="n">
        <f aca="false">E44+E45</f>
        <v>684.5</v>
      </c>
      <c r="F46" s="102" t="n">
        <f aca="false">F44+F45</f>
        <v>879.5</v>
      </c>
      <c r="G46" s="102" t="n">
        <f aca="false">G44+G45</f>
        <v>664.1</v>
      </c>
      <c r="H46" s="102" t="n">
        <f aca="false">H44+H45</f>
        <v>683.1</v>
      </c>
      <c r="I46" s="102" t="n">
        <f aca="false">I44+I45</f>
        <v>652.6</v>
      </c>
      <c r="J46" s="102" t="n">
        <f aca="false">J44+J45</f>
        <v>597.3</v>
      </c>
      <c r="K46" s="102" t="n">
        <f aca="false">K44+K45</f>
        <v>575.1</v>
      </c>
      <c r="L46" s="102" t="n">
        <f aca="false">L44+L45</f>
        <v>372.2</v>
      </c>
      <c r="M46" s="102" t="n">
        <f aca="false">M44+M45</f>
        <v>643.9</v>
      </c>
      <c r="N46" s="102" t="n">
        <f aca="false">N44+N45</f>
        <v>1367.7</v>
      </c>
      <c r="O46" s="102" t="n">
        <f aca="false">O44+O45</f>
        <v>708.5</v>
      </c>
    </row>
    <row r="47" customFormat="false" ht="12" hidden="false" customHeight="true" outlineLevel="0" collapsed="false">
      <c r="B47" s="101" t="s">
        <v>132</v>
      </c>
      <c r="C47" s="102" t="n">
        <f aca="false">'Weekly Cash Flow'!B$34</f>
        <v>-528.729166666667</v>
      </c>
      <c r="D47" s="102" t="n">
        <f aca="false">'Weekly Cash Flow'!C$34</f>
        <v>-369.5</v>
      </c>
      <c r="E47" s="102" t="n">
        <f aca="false">'Weekly Cash Flow'!D$34</f>
        <v>-1029.5</v>
      </c>
      <c r="F47" s="102" t="n">
        <f aca="false">'Weekly Cash Flow'!E$34</f>
        <v>-745.2</v>
      </c>
      <c r="G47" s="102" t="n">
        <f aca="false">'Weekly Cash Flow'!F$34</f>
        <v>-553.7</v>
      </c>
      <c r="H47" s="102" t="n">
        <f aca="false">'Weekly Cash Flow'!G$34</f>
        <v>-488.672976736111</v>
      </c>
      <c r="I47" s="102" t="n">
        <f aca="false">'Weekly Cash Flow'!H$34</f>
        <v>-702.9</v>
      </c>
      <c r="J47" s="102" t="n">
        <f aca="false">'Weekly Cash Flow'!I$34</f>
        <v>-701.7</v>
      </c>
      <c r="K47" s="102" t="n">
        <f aca="false">'Weekly Cash Flow'!J$34</f>
        <v>-420.5</v>
      </c>
      <c r="L47" s="102" t="n">
        <f aca="false">'Weekly Cash Flow'!K$34</f>
        <v>-476.017535538397</v>
      </c>
      <c r="M47" s="102" t="n">
        <f aca="false">'Weekly Cash Flow'!L$34</f>
        <v>-1103.4</v>
      </c>
      <c r="N47" s="102" t="n">
        <f aca="false">'Weekly Cash Flow'!M$34</f>
        <v>-955.4</v>
      </c>
      <c r="O47" s="102" t="n">
        <f aca="false">'Weekly Cash Flow'!N$34</f>
        <v>-581.9</v>
      </c>
    </row>
    <row r="48" customFormat="false" ht="12" hidden="false" customHeight="true" outlineLevel="0" collapsed="false">
      <c r="B48" s="101" t="s">
        <v>541</v>
      </c>
      <c r="C48" s="102" t="n">
        <f aca="false">C46+C47</f>
        <v>174.370833333333</v>
      </c>
      <c r="D48" s="102" t="n">
        <f aca="false">D46+D47</f>
        <v>319.9</v>
      </c>
      <c r="E48" s="102" t="n">
        <f aca="false">E46+E47</f>
        <v>-345</v>
      </c>
      <c r="F48" s="102" t="n">
        <f aca="false">F46+F47</f>
        <v>134.3</v>
      </c>
      <c r="G48" s="102" t="n">
        <f aca="false">G46+G47</f>
        <v>110.4</v>
      </c>
      <c r="H48" s="102" t="n">
        <f aca="false">H46+H47</f>
        <v>194.427023263889</v>
      </c>
      <c r="I48" s="102" t="n">
        <f aca="false">I46+I47</f>
        <v>-50.3000000000001</v>
      </c>
      <c r="J48" s="102" t="n">
        <f aca="false">J46+J47</f>
        <v>-104.4</v>
      </c>
      <c r="K48" s="102" t="n">
        <f aca="false">K46+K47</f>
        <v>154.6</v>
      </c>
      <c r="L48" s="102" t="n">
        <f aca="false">L46+L47</f>
        <v>-103.817535538397</v>
      </c>
      <c r="M48" s="102" t="n">
        <f aca="false">M46+M47</f>
        <v>-459.5</v>
      </c>
      <c r="N48" s="102" t="n">
        <f aca="false">N46+N47</f>
        <v>412.3</v>
      </c>
      <c r="O48" s="102" t="n">
        <f aca="false">O46+O47</f>
        <v>126.6</v>
      </c>
    </row>
    <row r="49" customFormat="false" ht="12" hidden="false" customHeight="true" outlineLevel="0" collapsed="false">
      <c r="B49" s="101" t="s">
        <v>109</v>
      </c>
      <c r="C49" s="102" t="n">
        <f aca="false">Assumptions!$B$13</f>
        <v>620</v>
      </c>
      <c r="D49" s="102" t="n">
        <f aca="false">C52</f>
        <v>250</v>
      </c>
      <c r="E49" s="102" t="n">
        <f aca="false">D52</f>
        <v>250</v>
      </c>
      <c r="F49" s="102" t="n">
        <f aca="false">E52</f>
        <v>250</v>
      </c>
      <c r="G49" s="102" t="n">
        <f aca="false">F52</f>
        <v>250</v>
      </c>
      <c r="H49" s="102" t="n">
        <f aca="false">G52</f>
        <v>250</v>
      </c>
      <c r="I49" s="102" t="n">
        <f aca="false">H52</f>
        <v>250</v>
      </c>
      <c r="J49" s="102" t="n">
        <f aca="false">I52</f>
        <v>250</v>
      </c>
      <c r="K49" s="102" t="n">
        <f aca="false">J52</f>
        <v>250</v>
      </c>
      <c r="L49" s="102" t="n">
        <f aca="false">K52</f>
        <v>250</v>
      </c>
      <c r="M49" s="102" t="n">
        <f aca="false">L52</f>
        <v>250</v>
      </c>
      <c r="N49" s="102" t="n">
        <f aca="false">M52</f>
        <v>250</v>
      </c>
      <c r="O49" s="102" t="n">
        <f aca="false">N52</f>
        <v>250</v>
      </c>
    </row>
    <row r="50" customFormat="false" ht="12" hidden="false" customHeight="true" outlineLevel="0" collapsed="false">
      <c r="B50" s="101" t="s">
        <v>542</v>
      </c>
      <c r="C50" s="102" t="n">
        <f aca="false">Assumptions!$B$15</f>
        <v>3450</v>
      </c>
      <c r="D50" s="102" t="n">
        <f aca="false">C50+C51</f>
        <v>2905.62916666667</v>
      </c>
      <c r="E50" s="102" t="n">
        <f aca="false">D50+D51</f>
        <v>2585.72916666667</v>
      </c>
      <c r="F50" s="102" t="n">
        <f aca="false">E50+E51</f>
        <v>2930.72916666667</v>
      </c>
      <c r="G50" s="102" t="n">
        <f aca="false">F50+F51</f>
        <v>2796.42916666667</v>
      </c>
      <c r="H50" s="102" t="n">
        <f aca="false">G50+G51</f>
        <v>2686.02916666667</v>
      </c>
      <c r="I50" s="102" t="n">
        <f aca="false">H50+H51</f>
        <v>2491.60214340278</v>
      </c>
      <c r="J50" s="102" t="n">
        <f aca="false">I50+I51</f>
        <v>2541.90214340278</v>
      </c>
      <c r="K50" s="102" t="n">
        <f aca="false">J50+J51</f>
        <v>2646.30214340278</v>
      </c>
      <c r="L50" s="102" t="n">
        <f aca="false">K50+K51</f>
        <v>2491.70214340278</v>
      </c>
      <c r="M50" s="102" t="n">
        <f aca="false">L50+L51</f>
        <v>2595.51967894118</v>
      </c>
      <c r="N50" s="102" t="n">
        <f aca="false">M50+M51</f>
        <v>3055.01967894118</v>
      </c>
      <c r="O50" s="102" t="n">
        <f aca="false">N50+N51</f>
        <v>2642.71967894118</v>
      </c>
    </row>
    <row r="51" customFormat="false" ht="12" hidden="false" customHeight="true" outlineLevel="0" collapsed="false">
      <c r="B51" s="101" t="s">
        <v>543</v>
      </c>
      <c r="C51" s="102" t="n">
        <f aca="false">MAX(0,MIN(Assumptions!$B$14-C50,Assumptions!$B$17-(C49+C48)))-MIN(C50,MAX(0,(C49+C48)-Assumptions!$B$17))</f>
        <v>-544.370833333333</v>
      </c>
      <c r="D51" s="102" t="n">
        <f aca="false">MAX(0,MIN(Assumptions!$B$14-D50,Assumptions!$B$17-(D49+D48)))-MIN(D50,MAX(0,(D49+D48)-Assumptions!$B$17))</f>
        <v>-319.9</v>
      </c>
      <c r="E51" s="102" t="n">
        <f aca="false">MAX(0,MIN(Assumptions!$B$14-E50,Assumptions!$B$17-(E49+E48)))-MIN(E50,MAX(0,(E49+E48)-Assumptions!$B$17))</f>
        <v>345</v>
      </c>
      <c r="F51" s="102" t="n">
        <f aca="false">MAX(0,MIN(Assumptions!$B$14-F50,Assumptions!$B$17-(F49+F48)))-MIN(F50,MAX(0,(F49+F48)-Assumptions!$B$17))</f>
        <v>-134.3</v>
      </c>
      <c r="G51" s="102" t="n">
        <f aca="false">MAX(0,MIN(Assumptions!$B$14-G50,Assumptions!$B$17-(G49+G48)))-MIN(G50,MAX(0,(G49+G48)-Assumptions!$B$17))</f>
        <v>-110.4</v>
      </c>
      <c r="H51" s="102" t="n">
        <f aca="false">MAX(0,MIN(Assumptions!$B$14-H50,Assumptions!$B$17-(H49+H48)))-MIN(H50,MAX(0,(H49+H48)-Assumptions!$B$17))</f>
        <v>-194.427023263889</v>
      </c>
      <c r="I51" s="102" t="n">
        <f aca="false">MAX(0,MIN(Assumptions!$B$14-I50,Assumptions!$B$17-(I49+I48)))-MIN(I50,MAX(0,(I49+I48)-Assumptions!$B$17))</f>
        <v>50.3000000000001</v>
      </c>
      <c r="J51" s="102" t="n">
        <f aca="false">MAX(0,MIN(Assumptions!$B$14-J50,Assumptions!$B$17-(J49+J48)))-MIN(J50,MAX(0,(J49+J48)-Assumptions!$B$17))</f>
        <v>104.4</v>
      </c>
      <c r="K51" s="102" t="n">
        <f aca="false">MAX(0,MIN(Assumptions!$B$14-K50,Assumptions!$B$17-(K49+K48)))-MIN(K50,MAX(0,(K49+K48)-Assumptions!$B$17))</f>
        <v>-154.6</v>
      </c>
      <c r="L51" s="102" t="n">
        <f aca="false">MAX(0,MIN(Assumptions!$B$14-L50,Assumptions!$B$17-(L49+L48)))-MIN(L50,MAX(0,(L49+L48)-Assumptions!$B$17))</f>
        <v>103.817535538397</v>
      </c>
      <c r="M51" s="102" t="n">
        <f aca="false">MAX(0,MIN(Assumptions!$B$14-M50,Assumptions!$B$17-(M49+M48)))-MIN(M50,MAX(0,(M49+M48)-Assumptions!$B$17))</f>
        <v>459.5</v>
      </c>
      <c r="N51" s="102" t="n">
        <f aca="false">MAX(0,MIN(Assumptions!$B$14-N50,Assumptions!$B$17-(N49+N48)))-MIN(N50,MAX(0,(N49+N48)-Assumptions!$B$17))</f>
        <v>-412.3</v>
      </c>
      <c r="O51" s="102" t="n">
        <f aca="false">MAX(0,MIN(Assumptions!$B$14-O50,Assumptions!$B$17-(O49+O48)))-MIN(O50,MAX(0,(O49+O48)-Assumptions!$B$17))</f>
        <v>-126.6</v>
      </c>
    </row>
    <row r="52" customFormat="false" ht="12" hidden="false" customHeight="true" outlineLevel="0" collapsed="false">
      <c r="B52" s="101" t="s">
        <v>137</v>
      </c>
      <c r="C52" s="102" t="n">
        <f aca="false">C49+C48+C51</f>
        <v>250</v>
      </c>
      <c r="D52" s="102" t="n">
        <f aca="false">D49+D48+D51</f>
        <v>250</v>
      </c>
      <c r="E52" s="102" t="n">
        <f aca="false">E49+E48+E51</f>
        <v>250</v>
      </c>
      <c r="F52" s="102" t="n">
        <f aca="false">F49+F48+F51</f>
        <v>250</v>
      </c>
      <c r="G52" s="102" t="n">
        <f aca="false">G49+G48+G51</f>
        <v>250</v>
      </c>
      <c r="H52" s="102" t="n">
        <f aca="false">H49+H48+H51</f>
        <v>250</v>
      </c>
      <c r="I52" s="102" t="n">
        <f aca="false">I49+I48+I51</f>
        <v>250</v>
      </c>
      <c r="J52" s="102" t="n">
        <f aca="false">J49+J48+J51</f>
        <v>250</v>
      </c>
      <c r="K52" s="102" t="n">
        <f aca="false">K49+K48+K51</f>
        <v>250</v>
      </c>
      <c r="L52" s="102" t="n">
        <f aca="false">L49+L48+L51</f>
        <v>250</v>
      </c>
      <c r="M52" s="102" t="n">
        <f aca="false">M49+M48+M51</f>
        <v>250</v>
      </c>
      <c r="N52" s="102" t="n">
        <f aca="false">N49+N48+N51</f>
        <v>250</v>
      </c>
      <c r="O52" s="102" t="n">
        <f aca="false">O49+O48+O51</f>
        <v>250</v>
      </c>
    </row>
    <row r="53" customFormat="false" ht="12" hidden="false" customHeight="true" outlineLevel="0" collapsed="false">
      <c r="B53" s="101" t="s">
        <v>544</v>
      </c>
      <c r="C53" s="102" t="n">
        <f aca="false">Assumptions!$B$14-(C50+C51)</f>
        <v>1094.37083333333</v>
      </c>
      <c r="D53" s="102" t="n">
        <f aca="false">Assumptions!$B$14-(D50+D51)</f>
        <v>1414.27083333333</v>
      </c>
      <c r="E53" s="102" t="n">
        <f aca="false">Assumptions!$B$14-(E50+E51)</f>
        <v>1069.27083333333</v>
      </c>
      <c r="F53" s="102" t="n">
        <f aca="false">Assumptions!$B$14-(F50+F51)</f>
        <v>1203.57083333333</v>
      </c>
      <c r="G53" s="102" t="n">
        <f aca="false">Assumptions!$B$14-(G50+G51)</f>
        <v>1313.97083333333</v>
      </c>
      <c r="H53" s="102" t="n">
        <f aca="false">Assumptions!$B$14-(H50+H51)</f>
        <v>1508.39785659722</v>
      </c>
      <c r="I53" s="102" t="n">
        <f aca="false">Assumptions!$B$14-(I50+I51)</f>
        <v>1458.09785659722</v>
      </c>
      <c r="J53" s="102" t="n">
        <f aca="false">Assumptions!$B$14-(J50+J51)</f>
        <v>1353.69785659722</v>
      </c>
      <c r="K53" s="102" t="n">
        <f aca="false">Assumptions!$B$14-(K50+K51)</f>
        <v>1508.29785659722</v>
      </c>
      <c r="L53" s="102" t="n">
        <f aca="false">Assumptions!$B$14-(L50+L51)</f>
        <v>1404.48032105882</v>
      </c>
      <c r="M53" s="102" t="n">
        <f aca="false">Assumptions!$B$14-(M50+M51)</f>
        <v>944.980321058825</v>
      </c>
      <c r="N53" s="102" t="n">
        <f aca="false">Assumptions!$B$14-(N50+N51)</f>
        <v>1357.28032105882</v>
      </c>
      <c r="O53" s="102" t="n">
        <f aca="false">Assumptions!$B$14-(O50+O51)</f>
        <v>1483.88032105882</v>
      </c>
    </row>
    <row r="54" customFormat="false" ht="12" hidden="false" customHeight="true" outlineLevel="0" collapsed="false">
      <c r="B54" s="103" t="s">
        <v>545</v>
      </c>
      <c r="C54" s="104" t="n">
        <f aca="false">C52+C53</f>
        <v>1344.37083333333</v>
      </c>
      <c r="D54" s="104" t="n">
        <f aca="false">D52+D53</f>
        <v>1664.27083333333</v>
      </c>
      <c r="E54" s="104" t="n">
        <f aca="false">E52+E53</f>
        <v>1319.27083333333</v>
      </c>
      <c r="F54" s="104" t="n">
        <f aca="false">F52+F53</f>
        <v>1453.57083333333</v>
      </c>
      <c r="G54" s="104" t="n">
        <f aca="false">G52+G53</f>
        <v>1563.97083333333</v>
      </c>
      <c r="H54" s="104" t="n">
        <f aca="false">H52+H53</f>
        <v>1758.39785659722</v>
      </c>
      <c r="I54" s="104" t="n">
        <f aca="false">I52+I53</f>
        <v>1708.09785659722</v>
      </c>
      <c r="J54" s="104" t="n">
        <f aca="false">J52+J53</f>
        <v>1603.69785659722</v>
      </c>
      <c r="K54" s="104" t="n">
        <f aca="false">K52+K53</f>
        <v>1758.29785659722</v>
      </c>
      <c r="L54" s="104" t="n">
        <f aca="false">L52+L53</f>
        <v>1654.48032105882</v>
      </c>
      <c r="M54" s="104" t="n">
        <f aca="false">M52+M53</f>
        <v>1194.98032105882</v>
      </c>
      <c r="N54" s="104" t="n">
        <f aca="false">N52+N53</f>
        <v>1607.28032105882</v>
      </c>
      <c r="O54" s="104" t="n">
        <f aca="false">O52+O53</f>
        <v>1733.88032105882</v>
      </c>
    </row>
    <row r="56" customFormat="false" ht="13.5" hidden="false" customHeight="true" outlineLevel="0" collapsed="false">
      <c r="A56" s="97" t="s">
        <v>546</v>
      </c>
      <c r="B56" s="97"/>
      <c r="C56" s="97"/>
      <c r="D56" s="97"/>
      <c r="E56" s="97"/>
      <c r="F56" s="97"/>
      <c r="G56" s="97"/>
    </row>
    <row r="57" customFormat="false" ht="15" hidden="false" customHeight="false" outlineLevel="0" collapsed="false">
      <c r="A57" s="98"/>
      <c r="B57" s="99" t="s">
        <v>103</v>
      </c>
      <c r="C57" s="100" t="n">
        <v>1</v>
      </c>
      <c r="D57" s="100" t="n">
        <v>2</v>
      </c>
      <c r="E57" s="100" t="n">
        <v>3</v>
      </c>
      <c r="F57" s="100" t="n">
        <v>4</v>
      </c>
      <c r="G57" s="100" t="n">
        <v>5</v>
      </c>
      <c r="H57" s="100" t="n">
        <v>6</v>
      </c>
      <c r="I57" s="100" t="n">
        <v>7</v>
      </c>
      <c r="J57" s="100" t="n">
        <v>8</v>
      </c>
      <c r="K57" s="100" t="n">
        <v>9</v>
      </c>
      <c r="L57" s="100" t="n">
        <v>10</v>
      </c>
      <c r="M57" s="100" t="n">
        <v>11</v>
      </c>
      <c r="N57" s="100" t="n">
        <v>12</v>
      </c>
      <c r="O57" s="100" t="n">
        <v>13</v>
      </c>
    </row>
    <row r="58" customFormat="false" ht="12" hidden="false" customHeight="true" outlineLevel="0" collapsed="false">
      <c r="B58" s="101" t="s">
        <v>539</v>
      </c>
      <c r="C58" s="102" t="n">
        <f aca="false">SUMIFS('Receipts Build'!$O$34:$O$98,'Receipts Build'!$Q$34:$Q$98,"Trade",'Receipts Build'!$N$34:$N$98,"&gt;="&amp;'Weekly Cash Flow'!B$5-3,'Receipts Build'!$N$34:$N$98,"&lt;="&amp;'Weekly Cash Flow'!B$6-3)+SUMIFS('Receipts Build'!$O$103:$O$207,'Receipts Build'!$Q$103:$Q$207,"Trade",'Receipts Build'!$N$103:$N$207,"&gt;="&amp;'Weekly Cash Flow'!B$5-3,'Receipts Build'!$N$103:$N$207,"&lt;="&amp;'Weekly Cash Flow'!B$6-3)</f>
        <v>100.3</v>
      </c>
      <c r="D58" s="102" t="n">
        <f aca="false">SUMIFS('Receipts Build'!$O$34:$O$98,'Receipts Build'!$Q$34:$Q$98,"Trade",'Receipts Build'!$N$34:$N$98,"&gt;="&amp;'Weekly Cash Flow'!C$5-3,'Receipts Build'!$N$34:$N$98,"&lt;="&amp;'Weekly Cash Flow'!C$6-3)+SUMIFS('Receipts Build'!$O$103:$O$207,'Receipts Build'!$Q$103:$Q$207,"Trade",'Receipts Build'!$N$103:$N$207,"&gt;="&amp;'Weekly Cash Flow'!C$5-3,'Receipts Build'!$N$103:$N$207,"&lt;="&amp;'Weekly Cash Flow'!C$6-3)</f>
        <v>657.5</v>
      </c>
      <c r="E58" s="102" t="n">
        <f aca="false">SUMIFS('Receipts Build'!$O$34:$O$98,'Receipts Build'!$Q$34:$Q$98,"Trade",'Receipts Build'!$N$34:$N$98,"&gt;="&amp;'Weekly Cash Flow'!D$5-3,'Receipts Build'!$N$34:$N$98,"&lt;="&amp;'Weekly Cash Flow'!D$6-3)+SUMIFS('Receipts Build'!$O$103:$O$207,'Receipts Build'!$Q$103:$Q$207,"Trade",'Receipts Build'!$N$103:$N$207,"&gt;="&amp;'Weekly Cash Flow'!D$5-3,'Receipts Build'!$N$103:$N$207,"&lt;="&amp;'Weekly Cash Flow'!D$6-3)</f>
        <v>659.2</v>
      </c>
      <c r="F58" s="102" t="n">
        <f aca="false">SUMIFS('Receipts Build'!$O$34:$O$98,'Receipts Build'!$Q$34:$Q$98,"Trade",'Receipts Build'!$N$34:$N$98,"&gt;="&amp;'Weekly Cash Flow'!E$5-3,'Receipts Build'!$N$34:$N$98,"&lt;="&amp;'Weekly Cash Flow'!E$6-3)+SUMIFS('Receipts Build'!$O$103:$O$207,'Receipts Build'!$Q$103:$Q$207,"Trade",'Receipts Build'!$N$103:$N$207,"&gt;="&amp;'Weekly Cash Flow'!E$5-3,'Receipts Build'!$N$103:$N$207,"&lt;="&amp;'Weekly Cash Flow'!E$6-3)</f>
        <v>696.7</v>
      </c>
      <c r="G58" s="102" t="n">
        <f aca="false">SUMIFS('Receipts Build'!$O$34:$O$98,'Receipts Build'!$Q$34:$Q$98,"Trade",'Receipts Build'!$N$34:$N$98,"&gt;="&amp;'Weekly Cash Flow'!F$5-3,'Receipts Build'!$N$34:$N$98,"&lt;="&amp;'Weekly Cash Flow'!F$6-3)+SUMIFS('Receipts Build'!$O$103:$O$207,'Receipts Build'!$Q$103:$Q$207,"Trade",'Receipts Build'!$N$103:$N$207,"&gt;="&amp;'Weekly Cash Flow'!F$5-3,'Receipts Build'!$N$103:$N$207,"&lt;="&amp;'Weekly Cash Flow'!F$6-3)</f>
        <v>680.2</v>
      </c>
      <c r="H58" s="102" t="n">
        <f aca="false">SUMIFS('Receipts Build'!$O$34:$O$98,'Receipts Build'!$Q$34:$Q$98,"Trade",'Receipts Build'!$N$34:$N$98,"&gt;="&amp;'Weekly Cash Flow'!G$5-3,'Receipts Build'!$N$34:$N$98,"&lt;="&amp;'Weekly Cash Flow'!G$6-3)+SUMIFS('Receipts Build'!$O$103:$O$207,'Receipts Build'!$Q$103:$Q$207,"Trade",'Receipts Build'!$N$103:$N$207,"&gt;="&amp;'Weekly Cash Flow'!G$5-3,'Receipts Build'!$N$103:$N$207,"&lt;="&amp;'Weekly Cash Flow'!G$6-3)</f>
        <v>678.1</v>
      </c>
      <c r="I58" s="102" t="n">
        <f aca="false">SUMIFS('Receipts Build'!$O$34:$O$98,'Receipts Build'!$Q$34:$Q$98,"Trade",'Receipts Build'!$N$34:$N$98,"&gt;="&amp;'Weekly Cash Flow'!H$5-3,'Receipts Build'!$N$34:$N$98,"&lt;="&amp;'Weekly Cash Flow'!H$6-3)+SUMIFS('Receipts Build'!$O$103:$O$207,'Receipts Build'!$Q$103:$Q$207,"Trade",'Receipts Build'!$N$103:$N$207,"&gt;="&amp;'Weekly Cash Flow'!H$5-3,'Receipts Build'!$N$103:$N$207,"&lt;="&amp;'Weekly Cash Flow'!H$6-3)</f>
        <v>656.7</v>
      </c>
      <c r="J58" s="102" t="n">
        <f aca="false">SUMIFS('Receipts Build'!$O$34:$O$98,'Receipts Build'!$Q$34:$Q$98,"Trade",'Receipts Build'!$N$34:$N$98,"&gt;="&amp;'Weekly Cash Flow'!I$5-3,'Receipts Build'!$N$34:$N$98,"&lt;="&amp;'Weekly Cash Flow'!I$6-3)+SUMIFS('Receipts Build'!$O$103:$O$207,'Receipts Build'!$Q$103:$Q$207,"Trade",'Receipts Build'!$N$103:$N$207,"&gt;="&amp;'Weekly Cash Flow'!I$5-3,'Receipts Build'!$N$103:$N$207,"&lt;="&amp;'Weekly Cash Flow'!I$6-3)</f>
        <v>411.8</v>
      </c>
      <c r="K58" s="102" t="n">
        <f aca="false">SUMIFS('Receipts Build'!$O$34:$O$98,'Receipts Build'!$Q$34:$Q$98,"Trade",'Receipts Build'!$N$34:$N$98,"&gt;="&amp;'Weekly Cash Flow'!J$5-3,'Receipts Build'!$N$34:$N$98,"&lt;="&amp;'Weekly Cash Flow'!J$6-3)+SUMIFS('Receipts Build'!$O$103:$O$207,'Receipts Build'!$Q$103:$Q$207,"Trade",'Receipts Build'!$N$103:$N$207,"&gt;="&amp;'Weekly Cash Flow'!J$5-3,'Receipts Build'!$N$103:$N$207,"&lt;="&amp;'Weekly Cash Flow'!J$6-3)</f>
        <v>600.9</v>
      </c>
      <c r="L58" s="102" t="n">
        <f aca="false">SUMIFS('Receipts Build'!$O$34:$O$98,'Receipts Build'!$Q$34:$Q$98,"Trade",'Receipts Build'!$N$34:$N$98,"&gt;="&amp;'Weekly Cash Flow'!K$5-3,'Receipts Build'!$N$34:$N$98,"&lt;="&amp;'Weekly Cash Flow'!K$6-3)+SUMIFS('Receipts Build'!$O$103:$O$207,'Receipts Build'!$Q$103:$Q$207,"Trade",'Receipts Build'!$N$103:$N$207,"&gt;="&amp;'Weekly Cash Flow'!K$5-3,'Receipts Build'!$N$103:$N$207,"&lt;="&amp;'Weekly Cash Flow'!K$6-3)</f>
        <v>376.4</v>
      </c>
      <c r="M58" s="102" t="n">
        <f aca="false">SUMIFS('Receipts Build'!$O$34:$O$98,'Receipts Build'!$Q$34:$Q$98,"Trade",'Receipts Build'!$N$34:$N$98,"&gt;="&amp;'Weekly Cash Flow'!L$5-3,'Receipts Build'!$N$34:$N$98,"&lt;="&amp;'Weekly Cash Flow'!L$6-3)+SUMIFS('Receipts Build'!$O$103:$O$207,'Receipts Build'!$Q$103:$Q$207,"Trade",'Receipts Build'!$N$103:$N$207,"&gt;="&amp;'Weekly Cash Flow'!L$5-3,'Receipts Build'!$N$103:$N$207,"&lt;="&amp;'Weekly Cash Flow'!L$6-3)</f>
        <v>619.5</v>
      </c>
      <c r="N58" s="102" t="n">
        <f aca="false">SUMIFS('Receipts Build'!$O$34:$O$98,'Receipts Build'!$Q$34:$Q$98,"Trade",'Receipts Build'!$N$34:$N$98,"&gt;="&amp;'Weekly Cash Flow'!M$5-3,'Receipts Build'!$N$34:$N$98,"&lt;="&amp;'Weekly Cash Flow'!M$6-3)+SUMIFS('Receipts Build'!$O$103:$O$207,'Receipts Build'!$Q$103:$Q$207,"Trade",'Receipts Build'!$N$103:$N$207,"&gt;="&amp;'Weekly Cash Flow'!M$5-3,'Receipts Build'!$N$103:$N$207,"&lt;="&amp;'Weekly Cash Flow'!M$6-3)</f>
        <v>677.6</v>
      </c>
      <c r="O58" s="102" t="n">
        <f aca="false">SUMIFS('Receipts Build'!$O$34:$O$98,'Receipts Build'!$Q$34:$Q$98,"Trade",'Receipts Build'!$N$34:$N$98,"&gt;="&amp;'Weekly Cash Flow'!N$5-3,'Receipts Build'!$N$34:$N$98,"&lt;="&amp;'Weekly Cash Flow'!N$6-3)+SUMIFS('Receipts Build'!$O$103:$O$207,'Receipts Build'!$Q$103:$Q$207,"Trade",'Receipts Build'!$N$103:$N$207,"&gt;="&amp;'Weekly Cash Flow'!N$5-3,'Receipts Build'!$N$103:$N$207,"&lt;="&amp;'Weekly Cash Flow'!N$6-3)</f>
        <v>544.1</v>
      </c>
    </row>
    <row r="59" customFormat="false" ht="12" hidden="false" customHeight="true" outlineLevel="0" collapsed="false">
      <c r="B59" s="101" t="s">
        <v>540</v>
      </c>
      <c r="C59" s="102" t="n">
        <f aca="false">SUMIFS('Receipts Build'!$O$34:$O$98,'Receipts Build'!$Q$34:$Q$98,"Fixed",'Receipts Build'!$N$34:$N$98,"&gt;="&amp;'Weekly Cash Flow'!B$5,'Receipts Build'!$N$34:$N$98,"&lt;="&amp;'Weekly Cash Flow'!B$6)+SUMIFS('Receipts Build'!$O$103:$O$207,'Receipts Build'!$Q$103:$Q$207,"Fixed",'Receipts Build'!$N$103:$N$207,"&gt;="&amp;'Weekly Cash Flow'!B$5,'Receipts Build'!$N$103:$N$207,"&lt;="&amp;'Weekly Cash Flow'!B$6)+SUMIFS('Receipts Build'!$O$212:$O$215,'Receipts Build'!$Q$212:$Q$215,"Fixed",'Receipts Build'!$N$212:$N$215,"&gt;="&amp;'Weekly Cash Flow'!B$5,'Receipts Build'!$N$212:$N$215,"&lt;="&amp;'Weekly Cash Flow'!B$6)</f>
        <v>462.3</v>
      </c>
      <c r="D59" s="102" t="n">
        <f aca="false">SUMIFS('Receipts Build'!$O$34:$O$98,'Receipts Build'!$Q$34:$Q$98,"Fixed",'Receipts Build'!$N$34:$N$98,"&gt;="&amp;'Weekly Cash Flow'!C$5,'Receipts Build'!$N$34:$N$98,"&lt;="&amp;'Weekly Cash Flow'!C$6)+SUMIFS('Receipts Build'!$O$103:$O$207,'Receipts Build'!$Q$103:$Q$207,"Fixed",'Receipts Build'!$N$103:$N$207,"&gt;="&amp;'Weekly Cash Flow'!C$5,'Receipts Build'!$N$103:$N$207,"&lt;="&amp;'Weekly Cash Flow'!C$6)+SUMIFS('Receipts Build'!$O$212:$O$215,'Receipts Build'!$Q$212:$Q$215,"Fixed",'Receipts Build'!$N$212:$N$215,"&gt;="&amp;'Weekly Cash Flow'!C$5,'Receipts Build'!$N$212:$N$215,"&lt;="&amp;'Weekly Cash Flow'!C$6)</f>
        <v>0</v>
      </c>
      <c r="E59" s="102" t="n">
        <f aca="false">SUMIFS('Receipts Build'!$O$34:$O$98,'Receipts Build'!$Q$34:$Q$98,"Fixed",'Receipts Build'!$N$34:$N$98,"&gt;="&amp;'Weekly Cash Flow'!D$5,'Receipts Build'!$N$34:$N$98,"&lt;="&amp;'Weekly Cash Flow'!D$6)+SUMIFS('Receipts Build'!$O$103:$O$207,'Receipts Build'!$Q$103:$Q$207,"Fixed",'Receipts Build'!$N$103:$N$207,"&gt;="&amp;'Weekly Cash Flow'!D$5,'Receipts Build'!$N$103:$N$207,"&lt;="&amp;'Weekly Cash Flow'!D$6)+SUMIFS('Receipts Build'!$O$212:$O$215,'Receipts Build'!$Q$212:$Q$215,"Fixed",'Receipts Build'!$N$212:$N$215,"&gt;="&amp;'Weekly Cash Flow'!D$5,'Receipts Build'!$N$212:$N$215,"&lt;="&amp;'Weekly Cash Flow'!D$6)</f>
        <v>28</v>
      </c>
      <c r="F59" s="102" t="n">
        <f aca="false">SUMIFS('Receipts Build'!$O$34:$O$98,'Receipts Build'!$Q$34:$Q$98,"Fixed",'Receipts Build'!$N$34:$N$98,"&gt;="&amp;'Weekly Cash Flow'!E$5,'Receipts Build'!$N$34:$N$98,"&lt;="&amp;'Weekly Cash Flow'!E$6)+SUMIFS('Receipts Build'!$O$103:$O$207,'Receipts Build'!$Q$103:$Q$207,"Fixed",'Receipts Build'!$N$103:$N$207,"&gt;="&amp;'Weekly Cash Flow'!E$5,'Receipts Build'!$N$103:$N$207,"&lt;="&amp;'Weekly Cash Flow'!E$6)+SUMIFS('Receipts Build'!$O$212:$O$215,'Receipts Build'!$Q$212:$Q$215,"Fixed",'Receipts Build'!$N$212:$N$215,"&gt;="&amp;'Weekly Cash Flow'!E$5,'Receipts Build'!$N$212:$N$215,"&lt;="&amp;'Weekly Cash Flow'!E$6)</f>
        <v>169.3</v>
      </c>
      <c r="G59" s="102" t="n">
        <f aca="false">SUMIFS('Receipts Build'!$O$34:$O$98,'Receipts Build'!$Q$34:$Q$98,"Fixed",'Receipts Build'!$N$34:$N$98,"&gt;="&amp;'Weekly Cash Flow'!F$5,'Receipts Build'!$N$34:$N$98,"&lt;="&amp;'Weekly Cash Flow'!F$6)+SUMIFS('Receipts Build'!$O$103:$O$207,'Receipts Build'!$Q$103:$Q$207,"Fixed",'Receipts Build'!$N$103:$N$207,"&gt;="&amp;'Weekly Cash Flow'!F$5,'Receipts Build'!$N$103:$N$207,"&lt;="&amp;'Weekly Cash Flow'!F$6)+SUMIFS('Receipts Build'!$O$212:$O$215,'Receipts Build'!$Q$212:$Q$215,"Fixed",'Receipts Build'!$N$212:$N$215,"&gt;="&amp;'Weekly Cash Flow'!F$5,'Receipts Build'!$N$212:$N$215,"&lt;="&amp;'Weekly Cash Flow'!F$6)</f>
        <v>0</v>
      </c>
      <c r="H59" s="102" t="n">
        <f aca="false">SUMIFS('Receipts Build'!$O$34:$O$98,'Receipts Build'!$Q$34:$Q$98,"Fixed",'Receipts Build'!$N$34:$N$98,"&gt;="&amp;'Weekly Cash Flow'!G$5,'Receipts Build'!$N$34:$N$98,"&lt;="&amp;'Weekly Cash Flow'!G$6)+SUMIFS('Receipts Build'!$O$103:$O$207,'Receipts Build'!$Q$103:$Q$207,"Fixed",'Receipts Build'!$N$103:$N$207,"&gt;="&amp;'Weekly Cash Flow'!G$5,'Receipts Build'!$N$103:$N$207,"&lt;="&amp;'Weekly Cash Flow'!G$6)+SUMIFS('Receipts Build'!$O$212:$O$215,'Receipts Build'!$Q$212:$Q$215,"Fixed",'Receipts Build'!$N$212:$N$215,"&gt;="&amp;'Weekly Cash Flow'!G$5,'Receipts Build'!$N$212:$N$215,"&lt;="&amp;'Weekly Cash Flow'!G$6)</f>
        <v>0</v>
      </c>
      <c r="I59" s="102" t="n">
        <f aca="false">SUMIFS('Receipts Build'!$O$34:$O$98,'Receipts Build'!$Q$34:$Q$98,"Fixed",'Receipts Build'!$N$34:$N$98,"&gt;="&amp;'Weekly Cash Flow'!H$5,'Receipts Build'!$N$34:$N$98,"&lt;="&amp;'Weekly Cash Flow'!H$6)+SUMIFS('Receipts Build'!$O$103:$O$207,'Receipts Build'!$Q$103:$Q$207,"Fixed",'Receipts Build'!$N$103:$N$207,"&gt;="&amp;'Weekly Cash Flow'!H$5,'Receipts Build'!$N$103:$N$207,"&lt;="&amp;'Weekly Cash Flow'!H$6)+SUMIFS('Receipts Build'!$O$212:$O$215,'Receipts Build'!$Q$212:$Q$215,"Fixed",'Receipts Build'!$N$212:$N$215,"&gt;="&amp;'Weekly Cash Flow'!H$5,'Receipts Build'!$N$212:$N$215,"&lt;="&amp;'Weekly Cash Flow'!H$6)</f>
        <v>0</v>
      </c>
      <c r="J59" s="102" t="n">
        <f aca="false">SUMIFS('Receipts Build'!$O$34:$O$98,'Receipts Build'!$Q$34:$Q$98,"Fixed",'Receipts Build'!$N$34:$N$98,"&gt;="&amp;'Weekly Cash Flow'!I$5,'Receipts Build'!$N$34:$N$98,"&lt;="&amp;'Weekly Cash Flow'!I$6)+SUMIFS('Receipts Build'!$O$103:$O$207,'Receipts Build'!$Q$103:$Q$207,"Fixed",'Receipts Build'!$N$103:$N$207,"&gt;="&amp;'Weekly Cash Flow'!I$5,'Receipts Build'!$N$103:$N$207,"&lt;="&amp;'Weekly Cash Flow'!I$6)+SUMIFS('Receipts Build'!$O$212:$O$215,'Receipts Build'!$Q$212:$Q$215,"Fixed",'Receipts Build'!$N$212:$N$215,"&gt;="&amp;'Weekly Cash Flow'!I$5,'Receipts Build'!$N$212:$N$215,"&lt;="&amp;'Weekly Cash Flow'!I$6)</f>
        <v>172.3</v>
      </c>
      <c r="K59" s="102" t="n">
        <f aca="false">SUMIFS('Receipts Build'!$O$34:$O$98,'Receipts Build'!$Q$34:$Q$98,"Fixed",'Receipts Build'!$N$34:$N$98,"&gt;="&amp;'Weekly Cash Flow'!J$5,'Receipts Build'!$N$34:$N$98,"&lt;="&amp;'Weekly Cash Flow'!J$6)+SUMIFS('Receipts Build'!$O$103:$O$207,'Receipts Build'!$Q$103:$Q$207,"Fixed",'Receipts Build'!$N$103:$N$207,"&gt;="&amp;'Weekly Cash Flow'!J$5,'Receipts Build'!$N$103:$N$207,"&lt;="&amp;'Weekly Cash Flow'!J$6)+SUMIFS('Receipts Build'!$O$212:$O$215,'Receipts Build'!$Q$212:$Q$215,"Fixed",'Receipts Build'!$N$212:$N$215,"&gt;="&amp;'Weekly Cash Flow'!J$5,'Receipts Build'!$N$212:$N$215,"&lt;="&amp;'Weekly Cash Flow'!J$6)</f>
        <v>0</v>
      </c>
      <c r="L59" s="102" t="n">
        <f aca="false">SUMIFS('Receipts Build'!$O$34:$O$98,'Receipts Build'!$Q$34:$Q$98,"Fixed",'Receipts Build'!$N$34:$N$98,"&gt;="&amp;'Weekly Cash Flow'!K$5,'Receipts Build'!$N$34:$N$98,"&lt;="&amp;'Weekly Cash Flow'!K$6)+SUMIFS('Receipts Build'!$O$103:$O$207,'Receipts Build'!$Q$103:$Q$207,"Fixed",'Receipts Build'!$N$103:$N$207,"&gt;="&amp;'Weekly Cash Flow'!K$5,'Receipts Build'!$N$103:$N$207,"&lt;="&amp;'Weekly Cash Flow'!K$6)+SUMIFS('Receipts Build'!$O$212:$O$215,'Receipts Build'!$Q$212:$Q$215,"Fixed",'Receipts Build'!$N$212:$N$215,"&gt;="&amp;'Weekly Cash Flow'!K$5,'Receipts Build'!$N$212:$N$215,"&lt;="&amp;'Weekly Cash Flow'!K$6)</f>
        <v>0</v>
      </c>
      <c r="M59" s="102" t="n">
        <f aca="false">SUMIFS('Receipts Build'!$O$34:$O$98,'Receipts Build'!$Q$34:$Q$98,"Fixed",'Receipts Build'!$N$34:$N$98,"&gt;="&amp;'Weekly Cash Flow'!L$5,'Receipts Build'!$N$34:$N$98,"&lt;="&amp;'Weekly Cash Flow'!L$6)+SUMIFS('Receipts Build'!$O$103:$O$207,'Receipts Build'!$Q$103:$Q$207,"Fixed",'Receipts Build'!$N$103:$N$207,"&gt;="&amp;'Weekly Cash Flow'!L$5,'Receipts Build'!$N$103:$N$207,"&lt;="&amp;'Weekly Cash Flow'!L$6)+SUMIFS('Receipts Build'!$O$212:$O$215,'Receipts Build'!$Q$212:$Q$215,"Fixed",'Receipts Build'!$N$212:$N$215,"&gt;="&amp;'Weekly Cash Flow'!L$5,'Receipts Build'!$N$212:$N$215,"&lt;="&amp;'Weekly Cash Flow'!L$6)</f>
        <v>0</v>
      </c>
      <c r="N59" s="102" t="n">
        <f aca="false">SUMIFS('Receipts Build'!$O$34:$O$98,'Receipts Build'!$Q$34:$Q$98,"Fixed",'Receipts Build'!$N$34:$N$98,"&gt;="&amp;'Weekly Cash Flow'!M$5,'Receipts Build'!$N$34:$N$98,"&lt;="&amp;'Weekly Cash Flow'!M$6)+SUMIFS('Receipts Build'!$O$103:$O$207,'Receipts Build'!$Q$103:$Q$207,"Fixed",'Receipts Build'!$N$103:$N$207,"&gt;="&amp;'Weekly Cash Flow'!M$5,'Receipts Build'!$N$103:$N$207,"&lt;="&amp;'Weekly Cash Flow'!M$6)+SUMIFS('Receipts Build'!$O$212:$O$215,'Receipts Build'!$Q$212:$Q$215,"Fixed",'Receipts Build'!$N$212:$N$215,"&gt;="&amp;'Weekly Cash Flow'!M$5,'Receipts Build'!$N$212:$N$215,"&lt;="&amp;'Weekly Cash Flow'!M$6)</f>
        <v>689.4</v>
      </c>
      <c r="O59" s="102" t="n">
        <f aca="false">SUMIFS('Receipts Build'!$O$34:$O$98,'Receipts Build'!$Q$34:$Q$98,"Fixed",'Receipts Build'!$N$34:$N$98,"&gt;="&amp;'Weekly Cash Flow'!N$5,'Receipts Build'!$N$34:$N$98,"&lt;="&amp;'Weekly Cash Flow'!N$6)+SUMIFS('Receipts Build'!$O$103:$O$207,'Receipts Build'!$Q$103:$Q$207,"Fixed",'Receipts Build'!$N$103:$N$207,"&gt;="&amp;'Weekly Cash Flow'!N$5,'Receipts Build'!$N$103:$N$207,"&lt;="&amp;'Weekly Cash Flow'!N$6)+SUMIFS('Receipts Build'!$O$212:$O$215,'Receipts Build'!$Q$212:$Q$215,"Fixed",'Receipts Build'!$N$212:$N$215,"&gt;="&amp;'Weekly Cash Flow'!N$5,'Receipts Build'!$N$212:$N$215,"&lt;="&amp;'Weekly Cash Flow'!N$6)</f>
        <v>160.3</v>
      </c>
    </row>
    <row r="60" customFormat="false" ht="12" hidden="false" customHeight="true" outlineLevel="0" collapsed="false">
      <c r="B60" s="101" t="s">
        <v>117</v>
      </c>
      <c r="C60" s="102" t="n">
        <f aca="false">C58+C59</f>
        <v>562.6</v>
      </c>
      <c r="D60" s="102" t="n">
        <f aca="false">D58+D59</f>
        <v>657.5</v>
      </c>
      <c r="E60" s="102" t="n">
        <f aca="false">E58+E59</f>
        <v>687.2</v>
      </c>
      <c r="F60" s="102" t="n">
        <f aca="false">F58+F59</f>
        <v>866</v>
      </c>
      <c r="G60" s="102" t="n">
        <f aca="false">G58+G59</f>
        <v>680.2</v>
      </c>
      <c r="H60" s="102" t="n">
        <f aca="false">H58+H59</f>
        <v>678.1</v>
      </c>
      <c r="I60" s="102" t="n">
        <f aca="false">I58+I59</f>
        <v>656.7</v>
      </c>
      <c r="J60" s="102" t="n">
        <f aca="false">J58+J59</f>
        <v>584.1</v>
      </c>
      <c r="K60" s="102" t="n">
        <f aca="false">K58+K59</f>
        <v>600.9</v>
      </c>
      <c r="L60" s="102" t="n">
        <f aca="false">L58+L59</f>
        <v>376.4</v>
      </c>
      <c r="M60" s="102" t="n">
        <f aca="false">M58+M59</f>
        <v>619.5</v>
      </c>
      <c r="N60" s="102" t="n">
        <f aca="false">N58+N59</f>
        <v>1367</v>
      </c>
      <c r="O60" s="102" t="n">
        <f aca="false">O58+O59</f>
        <v>704.4</v>
      </c>
    </row>
    <row r="61" customFormat="false" ht="12" hidden="false" customHeight="true" outlineLevel="0" collapsed="false">
      <c r="B61" s="101" t="s">
        <v>132</v>
      </c>
      <c r="C61" s="102" t="n">
        <f aca="false">'Weekly Cash Flow'!B$34</f>
        <v>-528.729166666667</v>
      </c>
      <c r="D61" s="102" t="n">
        <f aca="false">'Weekly Cash Flow'!C$34</f>
        <v>-369.5</v>
      </c>
      <c r="E61" s="102" t="n">
        <f aca="false">'Weekly Cash Flow'!D$34</f>
        <v>-1029.5</v>
      </c>
      <c r="F61" s="102" t="n">
        <f aca="false">'Weekly Cash Flow'!E$34</f>
        <v>-745.2</v>
      </c>
      <c r="G61" s="102" t="n">
        <f aca="false">'Weekly Cash Flow'!F$34</f>
        <v>-553.7</v>
      </c>
      <c r="H61" s="102" t="n">
        <f aca="false">'Weekly Cash Flow'!G$34</f>
        <v>-488.672976736111</v>
      </c>
      <c r="I61" s="102" t="n">
        <f aca="false">'Weekly Cash Flow'!H$34</f>
        <v>-702.9</v>
      </c>
      <c r="J61" s="102" t="n">
        <f aca="false">'Weekly Cash Flow'!I$34</f>
        <v>-701.7</v>
      </c>
      <c r="K61" s="102" t="n">
        <f aca="false">'Weekly Cash Flow'!J$34</f>
        <v>-420.5</v>
      </c>
      <c r="L61" s="102" t="n">
        <f aca="false">'Weekly Cash Flow'!K$34</f>
        <v>-476.017535538397</v>
      </c>
      <c r="M61" s="102" t="n">
        <f aca="false">'Weekly Cash Flow'!L$34</f>
        <v>-1103.4</v>
      </c>
      <c r="N61" s="102" t="n">
        <f aca="false">'Weekly Cash Flow'!M$34</f>
        <v>-955.4</v>
      </c>
      <c r="O61" s="102" t="n">
        <f aca="false">'Weekly Cash Flow'!N$34</f>
        <v>-581.9</v>
      </c>
    </row>
    <row r="62" customFormat="false" ht="12" hidden="false" customHeight="true" outlineLevel="0" collapsed="false">
      <c r="B62" s="101" t="s">
        <v>541</v>
      </c>
      <c r="C62" s="102" t="n">
        <f aca="false">C60+C61</f>
        <v>33.8708333333334</v>
      </c>
      <c r="D62" s="102" t="n">
        <f aca="false">D60+D61</f>
        <v>288</v>
      </c>
      <c r="E62" s="102" t="n">
        <f aca="false">E60+E61</f>
        <v>-342.3</v>
      </c>
      <c r="F62" s="102" t="n">
        <f aca="false">F60+F61</f>
        <v>120.8</v>
      </c>
      <c r="G62" s="102" t="n">
        <f aca="false">G60+G61</f>
        <v>126.5</v>
      </c>
      <c r="H62" s="102" t="n">
        <f aca="false">H60+H61</f>
        <v>189.427023263889</v>
      </c>
      <c r="I62" s="102" t="n">
        <f aca="false">I60+I61</f>
        <v>-46.2000000000002</v>
      </c>
      <c r="J62" s="102" t="n">
        <f aca="false">J60+J61</f>
        <v>-117.6</v>
      </c>
      <c r="K62" s="102" t="n">
        <f aca="false">K60+K61</f>
        <v>180.4</v>
      </c>
      <c r="L62" s="102" t="n">
        <f aca="false">L60+L61</f>
        <v>-99.617535538397</v>
      </c>
      <c r="M62" s="102" t="n">
        <f aca="false">M60+M61</f>
        <v>-483.9</v>
      </c>
      <c r="N62" s="102" t="n">
        <f aca="false">N60+N61</f>
        <v>411.6</v>
      </c>
      <c r="O62" s="102" t="n">
        <f aca="false">O60+O61</f>
        <v>122.5</v>
      </c>
    </row>
    <row r="63" customFormat="false" ht="12" hidden="false" customHeight="true" outlineLevel="0" collapsed="false">
      <c r="B63" s="101" t="s">
        <v>109</v>
      </c>
      <c r="C63" s="102" t="n">
        <f aca="false">Assumptions!$B$13</f>
        <v>620</v>
      </c>
      <c r="D63" s="102" t="n">
        <f aca="false">C66</f>
        <v>250</v>
      </c>
      <c r="E63" s="102" t="n">
        <f aca="false">D66</f>
        <v>250</v>
      </c>
      <c r="F63" s="102" t="n">
        <f aca="false">E66</f>
        <v>250</v>
      </c>
      <c r="G63" s="102" t="n">
        <f aca="false">F66</f>
        <v>250</v>
      </c>
      <c r="H63" s="102" t="n">
        <f aca="false">G66</f>
        <v>250</v>
      </c>
      <c r="I63" s="102" t="n">
        <f aca="false">H66</f>
        <v>250</v>
      </c>
      <c r="J63" s="102" t="n">
        <f aca="false">I66</f>
        <v>250</v>
      </c>
      <c r="K63" s="102" t="n">
        <f aca="false">J66</f>
        <v>250</v>
      </c>
      <c r="L63" s="102" t="n">
        <f aca="false">K66</f>
        <v>250</v>
      </c>
      <c r="M63" s="102" t="n">
        <f aca="false">L66</f>
        <v>250</v>
      </c>
      <c r="N63" s="102" t="n">
        <f aca="false">M66</f>
        <v>250</v>
      </c>
      <c r="O63" s="102" t="n">
        <f aca="false">N66</f>
        <v>250</v>
      </c>
    </row>
    <row r="64" customFormat="false" ht="12" hidden="false" customHeight="true" outlineLevel="0" collapsed="false">
      <c r="B64" s="101" t="s">
        <v>542</v>
      </c>
      <c r="C64" s="102" t="n">
        <f aca="false">Assumptions!$B$15</f>
        <v>3450</v>
      </c>
      <c r="D64" s="102" t="n">
        <f aca="false">C64+C65</f>
        <v>3046.12916666667</v>
      </c>
      <c r="E64" s="102" t="n">
        <f aca="false">D64+D65</f>
        <v>2758.12916666667</v>
      </c>
      <c r="F64" s="102" t="n">
        <f aca="false">E64+E65</f>
        <v>3100.42916666667</v>
      </c>
      <c r="G64" s="102" t="n">
        <f aca="false">F64+F65</f>
        <v>2979.62916666667</v>
      </c>
      <c r="H64" s="102" t="n">
        <f aca="false">G64+G65</f>
        <v>2853.12916666667</v>
      </c>
      <c r="I64" s="102" t="n">
        <f aca="false">H64+H65</f>
        <v>2663.70214340278</v>
      </c>
      <c r="J64" s="102" t="n">
        <f aca="false">I64+I65</f>
        <v>2709.90214340278</v>
      </c>
      <c r="K64" s="102" t="n">
        <f aca="false">J64+J65</f>
        <v>2827.50214340278</v>
      </c>
      <c r="L64" s="102" t="n">
        <f aca="false">K64+K65</f>
        <v>2647.10214340278</v>
      </c>
      <c r="M64" s="102" t="n">
        <f aca="false">L64+L65</f>
        <v>2746.71967894118</v>
      </c>
      <c r="N64" s="102" t="n">
        <f aca="false">M64+M65</f>
        <v>3230.61967894118</v>
      </c>
      <c r="O64" s="102" t="n">
        <f aca="false">N64+N65</f>
        <v>2819.01967894118</v>
      </c>
    </row>
    <row r="65" customFormat="false" ht="12" hidden="false" customHeight="true" outlineLevel="0" collapsed="false">
      <c r="B65" s="101" t="s">
        <v>543</v>
      </c>
      <c r="C65" s="102" t="n">
        <f aca="false">MAX(0,MIN(Assumptions!$B$14-C64,Assumptions!$B$17-(C63+C62)))-MIN(C64,MAX(0,(C63+C62)-Assumptions!$B$17))</f>
        <v>-403.870833333333</v>
      </c>
      <c r="D65" s="102" t="n">
        <f aca="false">MAX(0,MIN(Assumptions!$B$14-D64,Assumptions!$B$17-(D63+D62)))-MIN(D64,MAX(0,(D63+D62)-Assumptions!$B$17))</f>
        <v>-288</v>
      </c>
      <c r="E65" s="102" t="n">
        <f aca="false">MAX(0,MIN(Assumptions!$B$14-E64,Assumptions!$B$17-(E63+E62)))-MIN(E64,MAX(0,(E63+E62)-Assumptions!$B$17))</f>
        <v>342.3</v>
      </c>
      <c r="F65" s="102" t="n">
        <f aca="false">MAX(0,MIN(Assumptions!$B$14-F64,Assumptions!$B$17-(F63+F62)))-MIN(F64,MAX(0,(F63+F62)-Assumptions!$B$17))</f>
        <v>-120.8</v>
      </c>
      <c r="G65" s="102" t="n">
        <f aca="false">MAX(0,MIN(Assumptions!$B$14-G64,Assumptions!$B$17-(G63+G62)))-MIN(G64,MAX(0,(G63+G62)-Assumptions!$B$17))</f>
        <v>-126.5</v>
      </c>
      <c r="H65" s="102" t="n">
        <f aca="false">MAX(0,MIN(Assumptions!$B$14-H64,Assumptions!$B$17-(H63+H62)))-MIN(H64,MAX(0,(H63+H62)-Assumptions!$B$17))</f>
        <v>-189.427023263889</v>
      </c>
      <c r="I65" s="102" t="n">
        <f aca="false">MAX(0,MIN(Assumptions!$B$14-I64,Assumptions!$B$17-(I63+I62)))-MIN(I64,MAX(0,(I63+I62)-Assumptions!$B$17))</f>
        <v>46.2000000000002</v>
      </c>
      <c r="J65" s="102" t="n">
        <f aca="false">MAX(0,MIN(Assumptions!$B$14-J64,Assumptions!$B$17-(J63+J62)))-MIN(J64,MAX(0,(J63+J62)-Assumptions!$B$17))</f>
        <v>117.6</v>
      </c>
      <c r="K65" s="102" t="n">
        <f aca="false">MAX(0,MIN(Assumptions!$B$14-K64,Assumptions!$B$17-(K63+K62)))-MIN(K64,MAX(0,(K63+K62)-Assumptions!$B$17))</f>
        <v>-180.4</v>
      </c>
      <c r="L65" s="102" t="n">
        <f aca="false">MAX(0,MIN(Assumptions!$B$14-L64,Assumptions!$B$17-(L63+L62)))-MIN(L64,MAX(0,(L63+L62)-Assumptions!$B$17))</f>
        <v>99.617535538397</v>
      </c>
      <c r="M65" s="102" t="n">
        <f aca="false">MAX(0,MIN(Assumptions!$B$14-M64,Assumptions!$B$17-(M63+M62)))-MIN(M64,MAX(0,(M63+M62)-Assumptions!$B$17))</f>
        <v>483.9</v>
      </c>
      <c r="N65" s="102" t="n">
        <f aca="false">MAX(0,MIN(Assumptions!$B$14-N64,Assumptions!$B$17-(N63+N62)))-MIN(N64,MAX(0,(N63+N62)-Assumptions!$B$17))</f>
        <v>-411.6</v>
      </c>
      <c r="O65" s="102" t="n">
        <f aca="false">MAX(0,MIN(Assumptions!$B$14-O64,Assumptions!$B$17-(O63+O62)))-MIN(O64,MAX(0,(O63+O62)-Assumptions!$B$17))</f>
        <v>-122.5</v>
      </c>
    </row>
    <row r="66" customFormat="false" ht="12" hidden="false" customHeight="true" outlineLevel="0" collapsed="false">
      <c r="B66" s="101" t="s">
        <v>137</v>
      </c>
      <c r="C66" s="102" t="n">
        <f aca="false">C63+C62+C65</f>
        <v>250</v>
      </c>
      <c r="D66" s="102" t="n">
        <f aca="false">D63+D62+D65</f>
        <v>250</v>
      </c>
      <c r="E66" s="102" t="n">
        <f aca="false">E63+E62+E65</f>
        <v>250</v>
      </c>
      <c r="F66" s="102" t="n">
        <f aca="false">F63+F62+F65</f>
        <v>250</v>
      </c>
      <c r="G66" s="102" t="n">
        <f aca="false">G63+G62+G65</f>
        <v>250</v>
      </c>
      <c r="H66" s="102" t="n">
        <f aca="false">H63+H62+H65</f>
        <v>250</v>
      </c>
      <c r="I66" s="102" t="n">
        <f aca="false">I63+I62+I65</f>
        <v>250</v>
      </c>
      <c r="J66" s="102" t="n">
        <f aca="false">J63+J62+J65</f>
        <v>250</v>
      </c>
      <c r="K66" s="102" t="n">
        <f aca="false">K63+K62+K65</f>
        <v>250</v>
      </c>
      <c r="L66" s="102" t="n">
        <f aca="false">L63+L62+L65</f>
        <v>250</v>
      </c>
      <c r="M66" s="102" t="n">
        <f aca="false">M63+M62+M65</f>
        <v>250</v>
      </c>
      <c r="N66" s="102" t="n">
        <f aca="false">N63+N62+N65</f>
        <v>250</v>
      </c>
      <c r="O66" s="102" t="n">
        <f aca="false">O63+O62+O65</f>
        <v>250</v>
      </c>
    </row>
    <row r="67" customFormat="false" ht="12" hidden="false" customHeight="true" outlineLevel="0" collapsed="false">
      <c r="B67" s="101" t="s">
        <v>544</v>
      </c>
      <c r="C67" s="102" t="n">
        <f aca="false">Assumptions!$B$14-(C64+C65)</f>
        <v>953.870833333333</v>
      </c>
      <c r="D67" s="102" t="n">
        <f aca="false">Assumptions!$B$14-(D64+D65)</f>
        <v>1241.87083333333</v>
      </c>
      <c r="E67" s="102" t="n">
        <f aca="false">Assumptions!$B$14-(E64+E65)</f>
        <v>899.570833333333</v>
      </c>
      <c r="F67" s="102" t="n">
        <f aca="false">Assumptions!$B$14-(F64+F65)</f>
        <v>1020.37083333333</v>
      </c>
      <c r="G67" s="102" t="n">
        <f aca="false">Assumptions!$B$14-(G64+G65)</f>
        <v>1146.87083333333</v>
      </c>
      <c r="H67" s="102" t="n">
        <f aca="false">Assumptions!$B$14-(H64+H65)</f>
        <v>1336.29785659722</v>
      </c>
      <c r="I67" s="102" t="n">
        <f aca="false">Assumptions!$B$14-(I64+I65)</f>
        <v>1290.09785659722</v>
      </c>
      <c r="J67" s="102" t="n">
        <f aca="false">Assumptions!$B$14-(J64+J65)</f>
        <v>1172.49785659722</v>
      </c>
      <c r="K67" s="102" t="n">
        <f aca="false">Assumptions!$B$14-(K64+K65)</f>
        <v>1352.89785659722</v>
      </c>
      <c r="L67" s="102" t="n">
        <f aca="false">Assumptions!$B$14-(L64+L65)</f>
        <v>1253.28032105883</v>
      </c>
      <c r="M67" s="102" t="n">
        <f aca="false">Assumptions!$B$14-(M64+M65)</f>
        <v>769.380321058825</v>
      </c>
      <c r="N67" s="102" t="n">
        <f aca="false">Assumptions!$B$14-(N64+N65)</f>
        <v>1180.98032105882</v>
      </c>
      <c r="O67" s="102" t="n">
        <f aca="false">Assumptions!$B$14-(O64+O65)</f>
        <v>1303.48032105882</v>
      </c>
    </row>
    <row r="68" customFormat="false" ht="12" hidden="false" customHeight="true" outlineLevel="0" collapsed="false">
      <c r="B68" s="103" t="s">
        <v>545</v>
      </c>
      <c r="C68" s="104" t="n">
        <f aca="false">C66+C67</f>
        <v>1203.87083333333</v>
      </c>
      <c r="D68" s="104" t="n">
        <f aca="false">D66+D67</f>
        <v>1491.87083333333</v>
      </c>
      <c r="E68" s="104" t="n">
        <f aca="false">E66+E67</f>
        <v>1149.57083333333</v>
      </c>
      <c r="F68" s="104" t="n">
        <f aca="false">F66+F67</f>
        <v>1270.37083333333</v>
      </c>
      <c r="G68" s="104" t="n">
        <f aca="false">G66+G67</f>
        <v>1396.87083333333</v>
      </c>
      <c r="H68" s="104" t="n">
        <f aca="false">H66+H67</f>
        <v>1586.29785659722</v>
      </c>
      <c r="I68" s="104" t="n">
        <f aca="false">I66+I67</f>
        <v>1540.09785659722</v>
      </c>
      <c r="J68" s="104" t="n">
        <f aca="false">J66+J67</f>
        <v>1422.49785659722</v>
      </c>
      <c r="K68" s="104" t="n">
        <f aca="false">K66+K67</f>
        <v>1602.89785659722</v>
      </c>
      <c r="L68" s="104" t="n">
        <f aca="false">L66+L67</f>
        <v>1503.28032105883</v>
      </c>
      <c r="M68" s="104" t="n">
        <f aca="false">M66+M67</f>
        <v>1019.38032105882</v>
      </c>
      <c r="N68" s="104" t="n">
        <f aca="false">N66+N67</f>
        <v>1430.98032105882</v>
      </c>
      <c r="O68" s="104" t="n">
        <f aca="false">O66+O67</f>
        <v>1553.48032105882</v>
      </c>
    </row>
    <row r="70" customFormat="false" ht="13.5" hidden="false" customHeight="true" outlineLevel="0" collapsed="false">
      <c r="A70" s="97" t="s">
        <v>547</v>
      </c>
      <c r="B70" s="97"/>
      <c r="C70" s="97"/>
      <c r="D70" s="97"/>
      <c r="E70" s="97"/>
      <c r="F70" s="97"/>
      <c r="G70" s="97"/>
    </row>
    <row r="71" customFormat="false" ht="15" hidden="false" customHeight="false" outlineLevel="0" collapsed="false">
      <c r="A71" s="98"/>
      <c r="B71" s="99" t="s">
        <v>103</v>
      </c>
      <c r="C71" s="100" t="n">
        <v>1</v>
      </c>
      <c r="D71" s="100" t="n">
        <v>2</v>
      </c>
      <c r="E71" s="100" t="n">
        <v>3</v>
      </c>
      <c r="F71" s="100" t="n">
        <v>4</v>
      </c>
      <c r="G71" s="100" t="n">
        <v>5</v>
      </c>
      <c r="H71" s="100" t="n">
        <v>6</v>
      </c>
      <c r="I71" s="100" t="n">
        <v>7</v>
      </c>
      <c r="J71" s="100" t="n">
        <v>8</v>
      </c>
      <c r="K71" s="100" t="n">
        <v>9</v>
      </c>
      <c r="L71" s="100" t="n">
        <v>10</v>
      </c>
      <c r="M71" s="100" t="n">
        <v>11</v>
      </c>
      <c r="N71" s="100" t="n">
        <v>12</v>
      </c>
      <c r="O71" s="100" t="n">
        <v>13</v>
      </c>
    </row>
    <row r="72" customFormat="false" ht="12" hidden="false" customHeight="true" outlineLevel="0" collapsed="false">
      <c r="B72" s="101" t="s">
        <v>539</v>
      </c>
      <c r="C72" s="102" t="n">
        <f aca="false">SUMIFS('Receipts Build'!$O$34:$O$98,'Receipts Build'!$Q$34:$Q$98,"Trade",'Receipts Build'!$N$34:$N$98,"&gt;="&amp;'Weekly Cash Flow'!B$5-5,'Receipts Build'!$N$34:$N$98,"&lt;="&amp;'Weekly Cash Flow'!B$6-5)+SUMIFS('Receipts Build'!$O$103:$O$207,'Receipts Build'!$Q$103:$Q$207,"Trade",'Receipts Build'!$N$103:$N$207,"&gt;="&amp;'Weekly Cash Flow'!B$5-5,'Receipts Build'!$N$103:$N$207,"&lt;="&amp;'Weekly Cash Flow'!B$6-5)</f>
        <v>46.8</v>
      </c>
      <c r="D72" s="102" t="n">
        <f aca="false">SUMIFS('Receipts Build'!$O$34:$O$98,'Receipts Build'!$Q$34:$Q$98,"Trade",'Receipts Build'!$N$34:$N$98,"&gt;="&amp;'Weekly Cash Flow'!C$5-5,'Receipts Build'!$N$34:$N$98,"&lt;="&amp;'Weekly Cash Flow'!C$6-5)+SUMIFS('Receipts Build'!$O$103:$O$207,'Receipts Build'!$Q$103:$Q$207,"Trade",'Receipts Build'!$N$103:$N$207,"&gt;="&amp;'Weekly Cash Flow'!C$5-5,'Receipts Build'!$N$103:$N$207,"&lt;="&amp;'Weekly Cash Flow'!C$6-5)</f>
        <v>573.2</v>
      </c>
      <c r="E72" s="102" t="n">
        <f aca="false">SUMIFS('Receipts Build'!$O$34:$O$98,'Receipts Build'!$Q$34:$Q$98,"Trade",'Receipts Build'!$N$34:$N$98,"&gt;="&amp;'Weekly Cash Flow'!D$5-5,'Receipts Build'!$N$34:$N$98,"&lt;="&amp;'Weekly Cash Flow'!D$6-5)+SUMIFS('Receipts Build'!$O$103:$O$207,'Receipts Build'!$Q$103:$Q$207,"Trade",'Receipts Build'!$N$103:$N$207,"&gt;="&amp;'Weekly Cash Flow'!D$5-5,'Receipts Build'!$N$103:$N$207,"&lt;="&amp;'Weekly Cash Flow'!D$6-5)</f>
        <v>667.2</v>
      </c>
      <c r="F72" s="102" t="n">
        <f aca="false">SUMIFS('Receipts Build'!$O$34:$O$98,'Receipts Build'!$Q$34:$Q$98,"Trade",'Receipts Build'!$N$34:$N$98,"&gt;="&amp;'Weekly Cash Flow'!E$5-5,'Receipts Build'!$N$34:$N$98,"&lt;="&amp;'Weekly Cash Flow'!E$6-5)+SUMIFS('Receipts Build'!$O$103:$O$207,'Receipts Build'!$Q$103:$Q$207,"Trade",'Receipts Build'!$N$103:$N$207,"&gt;="&amp;'Weekly Cash Flow'!E$5-5,'Receipts Build'!$N$103:$N$207,"&lt;="&amp;'Weekly Cash Flow'!E$6-5)</f>
        <v>686</v>
      </c>
      <c r="G72" s="102" t="n">
        <f aca="false">SUMIFS('Receipts Build'!$O$34:$O$98,'Receipts Build'!$Q$34:$Q$98,"Trade",'Receipts Build'!$N$34:$N$98,"&gt;="&amp;'Weekly Cash Flow'!F$5-5,'Receipts Build'!$N$34:$N$98,"&lt;="&amp;'Weekly Cash Flow'!F$6-5)+SUMIFS('Receipts Build'!$O$103:$O$207,'Receipts Build'!$Q$103:$Q$207,"Trade",'Receipts Build'!$N$103:$N$207,"&gt;="&amp;'Weekly Cash Flow'!F$5-5,'Receipts Build'!$N$103:$N$207,"&lt;="&amp;'Weekly Cash Flow'!F$6-5)</f>
        <v>688.2</v>
      </c>
      <c r="H72" s="102" t="n">
        <f aca="false">SUMIFS('Receipts Build'!$O$34:$O$98,'Receipts Build'!$Q$34:$Q$98,"Trade",'Receipts Build'!$N$34:$N$98,"&gt;="&amp;'Weekly Cash Flow'!G$5-5,'Receipts Build'!$N$34:$N$98,"&lt;="&amp;'Weekly Cash Flow'!G$6-5)+SUMIFS('Receipts Build'!$O$103:$O$207,'Receipts Build'!$Q$103:$Q$207,"Trade",'Receipts Build'!$N$103:$N$207,"&gt;="&amp;'Weekly Cash Flow'!G$5-5,'Receipts Build'!$N$103:$N$207,"&lt;="&amp;'Weekly Cash Flow'!G$6-5)</f>
        <v>674.1</v>
      </c>
      <c r="I72" s="102" t="n">
        <f aca="false">SUMIFS('Receipts Build'!$O$34:$O$98,'Receipts Build'!$Q$34:$Q$98,"Trade",'Receipts Build'!$N$34:$N$98,"&gt;="&amp;'Weekly Cash Flow'!H$5-5,'Receipts Build'!$N$34:$N$98,"&lt;="&amp;'Weekly Cash Flow'!H$6-5)+SUMIFS('Receipts Build'!$O$103:$O$207,'Receipts Build'!$Q$103:$Q$207,"Trade",'Receipts Build'!$N$103:$N$207,"&gt;="&amp;'Weekly Cash Flow'!H$5-5,'Receipts Build'!$N$103:$N$207,"&lt;="&amp;'Weekly Cash Flow'!H$6-5)</f>
        <v>664.7</v>
      </c>
      <c r="J72" s="102" t="n">
        <f aca="false">SUMIFS('Receipts Build'!$O$34:$O$98,'Receipts Build'!$Q$34:$Q$98,"Trade",'Receipts Build'!$N$34:$N$98,"&gt;="&amp;'Weekly Cash Flow'!I$5-5,'Receipts Build'!$N$34:$N$98,"&lt;="&amp;'Weekly Cash Flow'!I$6-5)+SUMIFS('Receipts Build'!$O$103:$O$207,'Receipts Build'!$Q$103:$Q$207,"Trade",'Receipts Build'!$N$103:$N$207,"&gt;="&amp;'Weekly Cash Flow'!I$5-5,'Receipts Build'!$N$103:$N$207,"&lt;="&amp;'Weekly Cash Flow'!I$6-5)</f>
        <v>403.3</v>
      </c>
      <c r="K72" s="102" t="n">
        <f aca="false">SUMIFS('Receipts Build'!$O$34:$O$98,'Receipts Build'!$Q$34:$Q$98,"Trade",'Receipts Build'!$N$34:$N$98,"&gt;="&amp;'Weekly Cash Flow'!J$5-5,'Receipts Build'!$N$34:$N$98,"&lt;="&amp;'Weekly Cash Flow'!J$6-5)+SUMIFS('Receipts Build'!$O$103:$O$207,'Receipts Build'!$Q$103:$Q$207,"Trade",'Receipts Build'!$N$103:$N$207,"&gt;="&amp;'Weekly Cash Flow'!J$5-5,'Receipts Build'!$N$103:$N$207,"&lt;="&amp;'Weekly Cash Flow'!J$6-5)</f>
        <v>422.2</v>
      </c>
      <c r="L72" s="102" t="n">
        <f aca="false">SUMIFS('Receipts Build'!$O$34:$O$98,'Receipts Build'!$Q$34:$Q$98,"Trade",'Receipts Build'!$N$34:$N$98,"&gt;="&amp;'Weekly Cash Flow'!K$5-5,'Receipts Build'!$N$34:$N$98,"&lt;="&amp;'Weekly Cash Flow'!K$6-5)+SUMIFS('Receipts Build'!$O$103:$O$207,'Receipts Build'!$Q$103:$Q$207,"Trade",'Receipts Build'!$N$103:$N$207,"&gt;="&amp;'Weekly Cash Flow'!K$5-5,'Receipts Build'!$N$103:$N$207,"&lt;="&amp;'Weekly Cash Flow'!K$6-5)</f>
        <v>602.7</v>
      </c>
      <c r="M72" s="102" t="n">
        <f aca="false">SUMIFS('Receipts Build'!$O$34:$O$98,'Receipts Build'!$Q$34:$Q$98,"Trade",'Receipts Build'!$N$34:$N$98,"&gt;="&amp;'Weekly Cash Flow'!L$5-5,'Receipts Build'!$N$34:$N$98,"&lt;="&amp;'Weekly Cash Flow'!L$6-5)+SUMIFS('Receipts Build'!$O$103:$O$207,'Receipts Build'!$Q$103:$Q$207,"Trade",'Receipts Build'!$N$103:$N$207,"&gt;="&amp;'Weekly Cash Flow'!L$5-5,'Receipts Build'!$N$103:$N$207,"&lt;="&amp;'Weekly Cash Flow'!L$6-5)</f>
        <v>617.9</v>
      </c>
      <c r="N72" s="102" t="n">
        <f aca="false">SUMIFS('Receipts Build'!$O$34:$O$98,'Receipts Build'!$Q$34:$Q$98,"Trade",'Receipts Build'!$N$34:$N$98,"&gt;="&amp;'Weekly Cash Flow'!M$5-5,'Receipts Build'!$N$34:$N$98,"&lt;="&amp;'Weekly Cash Flow'!M$6-5)+SUMIFS('Receipts Build'!$O$103:$O$207,'Receipts Build'!$Q$103:$Q$207,"Trade",'Receipts Build'!$N$103:$N$207,"&gt;="&amp;'Weekly Cash Flow'!M$5-5,'Receipts Build'!$N$103:$N$207,"&lt;="&amp;'Weekly Cash Flow'!M$6-5)</f>
        <v>641.2</v>
      </c>
      <c r="O72" s="102" t="n">
        <f aca="false">SUMIFS('Receipts Build'!$O$34:$O$98,'Receipts Build'!$Q$34:$Q$98,"Trade",'Receipts Build'!$N$34:$N$98,"&gt;="&amp;'Weekly Cash Flow'!N$5-5,'Receipts Build'!$N$34:$N$98,"&lt;="&amp;'Weekly Cash Flow'!N$6-5)+SUMIFS('Receipts Build'!$O$103:$O$207,'Receipts Build'!$Q$103:$Q$207,"Trade",'Receipts Build'!$N$103:$N$207,"&gt;="&amp;'Weekly Cash Flow'!N$5-5,'Receipts Build'!$N$103:$N$207,"&lt;="&amp;'Weekly Cash Flow'!N$6-5)</f>
        <v>599.2</v>
      </c>
    </row>
    <row r="73" customFormat="false" ht="12" hidden="false" customHeight="true" outlineLevel="0" collapsed="false">
      <c r="B73" s="101" t="s">
        <v>540</v>
      </c>
      <c r="C73" s="102" t="n">
        <f aca="false">SUMIFS('Receipts Build'!$O$34:$O$98,'Receipts Build'!$Q$34:$Q$98,"Fixed",'Receipts Build'!$N$34:$N$98,"&gt;="&amp;'Weekly Cash Flow'!B$5,'Receipts Build'!$N$34:$N$98,"&lt;="&amp;'Weekly Cash Flow'!B$6)+SUMIFS('Receipts Build'!$O$103:$O$207,'Receipts Build'!$Q$103:$Q$207,"Fixed",'Receipts Build'!$N$103:$N$207,"&gt;="&amp;'Weekly Cash Flow'!B$5,'Receipts Build'!$N$103:$N$207,"&lt;="&amp;'Weekly Cash Flow'!B$6)+SUMIFS('Receipts Build'!$O$212:$O$215,'Receipts Build'!$Q$212:$Q$215,"Fixed",'Receipts Build'!$N$212:$N$215,"&gt;="&amp;'Weekly Cash Flow'!B$5,'Receipts Build'!$N$212:$N$215,"&lt;="&amp;'Weekly Cash Flow'!B$6)</f>
        <v>462.3</v>
      </c>
      <c r="D73" s="102" t="n">
        <f aca="false">SUMIFS('Receipts Build'!$O$34:$O$98,'Receipts Build'!$Q$34:$Q$98,"Fixed",'Receipts Build'!$N$34:$N$98,"&gt;="&amp;'Weekly Cash Flow'!C$5,'Receipts Build'!$N$34:$N$98,"&lt;="&amp;'Weekly Cash Flow'!C$6)+SUMIFS('Receipts Build'!$O$103:$O$207,'Receipts Build'!$Q$103:$Q$207,"Fixed",'Receipts Build'!$N$103:$N$207,"&gt;="&amp;'Weekly Cash Flow'!C$5,'Receipts Build'!$N$103:$N$207,"&lt;="&amp;'Weekly Cash Flow'!C$6)+SUMIFS('Receipts Build'!$O$212:$O$215,'Receipts Build'!$Q$212:$Q$215,"Fixed",'Receipts Build'!$N$212:$N$215,"&gt;="&amp;'Weekly Cash Flow'!C$5,'Receipts Build'!$N$212:$N$215,"&lt;="&amp;'Weekly Cash Flow'!C$6)</f>
        <v>0</v>
      </c>
      <c r="E73" s="102" t="n">
        <f aca="false">SUMIFS('Receipts Build'!$O$34:$O$98,'Receipts Build'!$Q$34:$Q$98,"Fixed",'Receipts Build'!$N$34:$N$98,"&gt;="&amp;'Weekly Cash Flow'!D$5,'Receipts Build'!$N$34:$N$98,"&lt;="&amp;'Weekly Cash Flow'!D$6)+SUMIFS('Receipts Build'!$O$103:$O$207,'Receipts Build'!$Q$103:$Q$207,"Fixed",'Receipts Build'!$N$103:$N$207,"&gt;="&amp;'Weekly Cash Flow'!D$5,'Receipts Build'!$N$103:$N$207,"&lt;="&amp;'Weekly Cash Flow'!D$6)+SUMIFS('Receipts Build'!$O$212:$O$215,'Receipts Build'!$Q$212:$Q$215,"Fixed",'Receipts Build'!$N$212:$N$215,"&gt;="&amp;'Weekly Cash Flow'!D$5,'Receipts Build'!$N$212:$N$215,"&lt;="&amp;'Weekly Cash Flow'!D$6)</f>
        <v>28</v>
      </c>
      <c r="F73" s="102" t="n">
        <f aca="false">SUMIFS('Receipts Build'!$O$34:$O$98,'Receipts Build'!$Q$34:$Q$98,"Fixed",'Receipts Build'!$N$34:$N$98,"&gt;="&amp;'Weekly Cash Flow'!E$5,'Receipts Build'!$N$34:$N$98,"&lt;="&amp;'Weekly Cash Flow'!E$6)+SUMIFS('Receipts Build'!$O$103:$O$207,'Receipts Build'!$Q$103:$Q$207,"Fixed",'Receipts Build'!$N$103:$N$207,"&gt;="&amp;'Weekly Cash Flow'!E$5,'Receipts Build'!$N$103:$N$207,"&lt;="&amp;'Weekly Cash Flow'!E$6)+SUMIFS('Receipts Build'!$O$212:$O$215,'Receipts Build'!$Q$212:$Q$215,"Fixed",'Receipts Build'!$N$212:$N$215,"&gt;="&amp;'Weekly Cash Flow'!E$5,'Receipts Build'!$N$212:$N$215,"&lt;="&amp;'Weekly Cash Flow'!E$6)</f>
        <v>169.3</v>
      </c>
      <c r="G73" s="102" t="n">
        <f aca="false">SUMIFS('Receipts Build'!$O$34:$O$98,'Receipts Build'!$Q$34:$Q$98,"Fixed",'Receipts Build'!$N$34:$N$98,"&gt;="&amp;'Weekly Cash Flow'!F$5,'Receipts Build'!$N$34:$N$98,"&lt;="&amp;'Weekly Cash Flow'!F$6)+SUMIFS('Receipts Build'!$O$103:$O$207,'Receipts Build'!$Q$103:$Q$207,"Fixed",'Receipts Build'!$N$103:$N$207,"&gt;="&amp;'Weekly Cash Flow'!F$5,'Receipts Build'!$N$103:$N$207,"&lt;="&amp;'Weekly Cash Flow'!F$6)+SUMIFS('Receipts Build'!$O$212:$O$215,'Receipts Build'!$Q$212:$Q$215,"Fixed",'Receipts Build'!$N$212:$N$215,"&gt;="&amp;'Weekly Cash Flow'!F$5,'Receipts Build'!$N$212:$N$215,"&lt;="&amp;'Weekly Cash Flow'!F$6)</f>
        <v>0</v>
      </c>
      <c r="H73" s="102" t="n">
        <f aca="false">SUMIFS('Receipts Build'!$O$34:$O$98,'Receipts Build'!$Q$34:$Q$98,"Fixed",'Receipts Build'!$N$34:$N$98,"&gt;="&amp;'Weekly Cash Flow'!G$5,'Receipts Build'!$N$34:$N$98,"&lt;="&amp;'Weekly Cash Flow'!G$6)+SUMIFS('Receipts Build'!$O$103:$O$207,'Receipts Build'!$Q$103:$Q$207,"Fixed",'Receipts Build'!$N$103:$N$207,"&gt;="&amp;'Weekly Cash Flow'!G$5,'Receipts Build'!$N$103:$N$207,"&lt;="&amp;'Weekly Cash Flow'!G$6)+SUMIFS('Receipts Build'!$O$212:$O$215,'Receipts Build'!$Q$212:$Q$215,"Fixed",'Receipts Build'!$N$212:$N$215,"&gt;="&amp;'Weekly Cash Flow'!G$5,'Receipts Build'!$N$212:$N$215,"&lt;="&amp;'Weekly Cash Flow'!G$6)</f>
        <v>0</v>
      </c>
      <c r="I73" s="102" t="n">
        <f aca="false">SUMIFS('Receipts Build'!$O$34:$O$98,'Receipts Build'!$Q$34:$Q$98,"Fixed",'Receipts Build'!$N$34:$N$98,"&gt;="&amp;'Weekly Cash Flow'!H$5,'Receipts Build'!$N$34:$N$98,"&lt;="&amp;'Weekly Cash Flow'!H$6)+SUMIFS('Receipts Build'!$O$103:$O$207,'Receipts Build'!$Q$103:$Q$207,"Fixed",'Receipts Build'!$N$103:$N$207,"&gt;="&amp;'Weekly Cash Flow'!H$5,'Receipts Build'!$N$103:$N$207,"&lt;="&amp;'Weekly Cash Flow'!H$6)+SUMIFS('Receipts Build'!$O$212:$O$215,'Receipts Build'!$Q$212:$Q$215,"Fixed",'Receipts Build'!$N$212:$N$215,"&gt;="&amp;'Weekly Cash Flow'!H$5,'Receipts Build'!$N$212:$N$215,"&lt;="&amp;'Weekly Cash Flow'!H$6)</f>
        <v>0</v>
      </c>
      <c r="J73" s="102" t="n">
        <f aca="false">SUMIFS('Receipts Build'!$O$34:$O$98,'Receipts Build'!$Q$34:$Q$98,"Fixed",'Receipts Build'!$N$34:$N$98,"&gt;="&amp;'Weekly Cash Flow'!I$5,'Receipts Build'!$N$34:$N$98,"&lt;="&amp;'Weekly Cash Flow'!I$6)+SUMIFS('Receipts Build'!$O$103:$O$207,'Receipts Build'!$Q$103:$Q$207,"Fixed",'Receipts Build'!$N$103:$N$207,"&gt;="&amp;'Weekly Cash Flow'!I$5,'Receipts Build'!$N$103:$N$207,"&lt;="&amp;'Weekly Cash Flow'!I$6)+SUMIFS('Receipts Build'!$O$212:$O$215,'Receipts Build'!$Q$212:$Q$215,"Fixed",'Receipts Build'!$N$212:$N$215,"&gt;="&amp;'Weekly Cash Flow'!I$5,'Receipts Build'!$N$212:$N$215,"&lt;="&amp;'Weekly Cash Flow'!I$6)</f>
        <v>172.3</v>
      </c>
      <c r="K73" s="102" t="n">
        <f aca="false">SUMIFS('Receipts Build'!$O$34:$O$98,'Receipts Build'!$Q$34:$Q$98,"Fixed",'Receipts Build'!$N$34:$N$98,"&gt;="&amp;'Weekly Cash Flow'!J$5,'Receipts Build'!$N$34:$N$98,"&lt;="&amp;'Weekly Cash Flow'!J$6)+SUMIFS('Receipts Build'!$O$103:$O$207,'Receipts Build'!$Q$103:$Q$207,"Fixed",'Receipts Build'!$N$103:$N$207,"&gt;="&amp;'Weekly Cash Flow'!J$5,'Receipts Build'!$N$103:$N$207,"&lt;="&amp;'Weekly Cash Flow'!J$6)+SUMIFS('Receipts Build'!$O$212:$O$215,'Receipts Build'!$Q$212:$Q$215,"Fixed",'Receipts Build'!$N$212:$N$215,"&gt;="&amp;'Weekly Cash Flow'!J$5,'Receipts Build'!$N$212:$N$215,"&lt;="&amp;'Weekly Cash Flow'!J$6)</f>
        <v>0</v>
      </c>
      <c r="L73" s="102" t="n">
        <f aca="false">SUMIFS('Receipts Build'!$O$34:$O$98,'Receipts Build'!$Q$34:$Q$98,"Fixed",'Receipts Build'!$N$34:$N$98,"&gt;="&amp;'Weekly Cash Flow'!K$5,'Receipts Build'!$N$34:$N$98,"&lt;="&amp;'Weekly Cash Flow'!K$6)+SUMIFS('Receipts Build'!$O$103:$O$207,'Receipts Build'!$Q$103:$Q$207,"Fixed",'Receipts Build'!$N$103:$N$207,"&gt;="&amp;'Weekly Cash Flow'!K$5,'Receipts Build'!$N$103:$N$207,"&lt;="&amp;'Weekly Cash Flow'!K$6)+SUMIFS('Receipts Build'!$O$212:$O$215,'Receipts Build'!$Q$212:$Q$215,"Fixed",'Receipts Build'!$N$212:$N$215,"&gt;="&amp;'Weekly Cash Flow'!K$5,'Receipts Build'!$N$212:$N$215,"&lt;="&amp;'Weekly Cash Flow'!K$6)</f>
        <v>0</v>
      </c>
      <c r="M73" s="102" t="n">
        <f aca="false">SUMIFS('Receipts Build'!$O$34:$O$98,'Receipts Build'!$Q$34:$Q$98,"Fixed",'Receipts Build'!$N$34:$N$98,"&gt;="&amp;'Weekly Cash Flow'!L$5,'Receipts Build'!$N$34:$N$98,"&lt;="&amp;'Weekly Cash Flow'!L$6)+SUMIFS('Receipts Build'!$O$103:$O$207,'Receipts Build'!$Q$103:$Q$207,"Fixed",'Receipts Build'!$N$103:$N$207,"&gt;="&amp;'Weekly Cash Flow'!L$5,'Receipts Build'!$N$103:$N$207,"&lt;="&amp;'Weekly Cash Flow'!L$6)+SUMIFS('Receipts Build'!$O$212:$O$215,'Receipts Build'!$Q$212:$Q$215,"Fixed",'Receipts Build'!$N$212:$N$215,"&gt;="&amp;'Weekly Cash Flow'!L$5,'Receipts Build'!$N$212:$N$215,"&lt;="&amp;'Weekly Cash Flow'!L$6)</f>
        <v>0</v>
      </c>
      <c r="N73" s="102" t="n">
        <f aca="false">SUMIFS('Receipts Build'!$O$34:$O$98,'Receipts Build'!$Q$34:$Q$98,"Fixed",'Receipts Build'!$N$34:$N$98,"&gt;="&amp;'Weekly Cash Flow'!M$5,'Receipts Build'!$N$34:$N$98,"&lt;="&amp;'Weekly Cash Flow'!M$6)+SUMIFS('Receipts Build'!$O$103:$O$207,'Receipts Build'!$Q$103:$Q$207,"Fixed",'Receipts Build'!$N$103:$N$207,"&gt;="&amp;'Weekly Cash Flow'!M$5,'Receipts Build'!$N$103:$N$207,"&lt;="&amp;'Weekly Cash Flow'!M$6)+SUMIFS('Receipts Build'!$O$212:$O$215,'Receipts Build'!$Q$212:$Q$215,"Fixed",'Receipts Build'!$N$212:$N$215,"&gt;="&amp;'Weekly Cash Flow'!M$5,'Receipts Build'!$N$212:$N$215,"&lt;="&amp;'Weekly Cash Flow'!M$6)</f>
        <v>689.4</v>
      </c>
      <c r="O73" s="102" t="n">
        <f aca="false">SUMIFS('Receipts Build'!$O$34:$O$98,'Receipts Build'!$Q$34:$Q$98,"Fixed",'Receipts Build'!$N$34:$N$98,"&gt;="&amp;'Weekly Cash Flow'!N$5,'Receipts Build'!$N$34:$N$98,"&lt;="&amp;'Weekly Cash Flow'!N$6)+SUMIFS('Receipts Build'!$O$103:$O$207,'Receipts Build'!$Q$103:$Q$207,"Fixed",'Receipts Build'!$N$103:$N$207,"&gt;="&amp;'Weekly Cash Flow'!N$5,'Receipts Build'!$N$103:$N$207,"&lt;="&amp;'Weekly Cash Flow'!N$6)+SUMIFS('Receipts Build'!$O$212:$O$215,'Receipts Build'!$Q$212:$Q$215,"Fixed",'Receipts Build'!$N$212:$N$215,"&gt;="&amp;'Weekly Cash Flow'!N$5,'Receipts Build'!$N$212:$N$215,"&lt;="&amp;'Weekly Cash Flow'!N$6)</f>
        <v>160.3</v>
      </c>
    </row>
    <row r="74" customFormat="false" ht="12" hidden="false" customHeight="true" outlineLevel="0" collapsed="false">
      <c r="B74" s="101" t="s">
        <v>117</v>
      </c>
      <c r="C74" s="102" t="n">
        <f aca="false">C72+C73</f>
        <v>509.1</v>
      </c>
      <c r="D74" s="102" t="n">
        <f aca="false">D72+D73</f>
        <v>573.2</v>
      </c>
      <c r="E74" s="102" t="n">
        <f aca="false">E72+E73</f>
        <v>695.2</v>
      </c>
      <c r="F74" s="102" t="n">
        <f aca="false">F72+F73</f>
        <v>855.3</v>
      </c>
      <c r="G74" s="102" t="n">
        <f aca="false">G72+G73</f>
        <v>688.2</v>
      </c>
      <c r="H74" s="102" t="n">
        <f aca="false">H72+H73</f>
        <v>674.1</v>
      </c>
      <c r="I74" s="102" t="n">
        <f aca="false">I72+I73</f>
        <v>664.7</v>
      </c>
      <c r="J74" s="102" t="n">
        <f aca="false">J72+J73</f>
        <v>575.6</v>
      </c>
      <c r="K74" s="102" t="n">
        <f aca="false">K72+K73</f>
        <v>422.2</v>
      </c>
      <c r="L74" s="102" t="n">
        <f aca="false">L72+L73</f>
        <v>602.7</v>
      </c>
      <c r="M74" s="102" t="n">
        <f aca="false">M72+M73</f>
        <v>617.9</v>
      </c>
      <c r="N74" s="102" t="n">
        <f aca="false">N72+N73</f>
        <v>1330.6</v>
      </c>
      <c r="O74" s="102" t="n">
        <f aca="false">O72+O73</f>
        <v>759.5</v>
      </c>
    </row>
    <row r="75" customFormat="false" ht="12" hidden="false" customHeight="true" outlineLevel="0" collapsed="false">
      <c r="B75" s="101" t="s">
        <v>132</v>
      </c>
      <c r="C75" s="102" t="n">
        <f aca="false">'Weekly Cash Flow'!B$34</f>
        <v>-528.729166666667</v>
      </c>
      <c r="D75" s="102" t="n">
        <f aca="false">'Weekly Cash Flow'!C$34</f>
        <v>-369.5</v>
      </c>
      <c r="E75" s="102" t="n">
        <f aca="false">'Weekly Cash Flow'!D$34</f>
        <v>-1029.5</v>
      </c>
      <c r="F75" s="102" t="n">
        <f aca="false">'Weekly Cash Flow'!E$34</f>
        <v>-745.2</v>
      </c>
      <c r="G75" s="102" t="n">
        <f aca="false">'Weekly Cash Flow'!F$34</f>
        <v>-553.7</v>
      </c>
      <c r="H75" s="102" t="n">
        <f aca="false">'Weekly Cash Flow'!G$34</f>
        <v>-488.672976736111</v>
      </c>
      <c r="I75" s="102" t="n">
        <f aca="false">'Weekly Cash Flow'!H$34</f>
        <v>-702.9</v>
      </c>
      <c r="J75" s="102" t="n">
        <f aca="false">'Weekly Cash Flow'!I$34</f>
        <v>-701.7</v>
      </c>
      <c r="K75" s="102" t="n">
        <f aca="false">'Weekly Cash Flow'!J$34</f>
        <v>-420.5</v>
      </c>
      <c r="L75" s="102" t="n">
        <f aca="false">'Weekly Cash Flow'!K$34</f>
        <v>-476.017535538397</v>
      </c>
      <c r="M75" s="102" t="n">
        <f aca="false">'Weekly Cash Flow'!L$34</f>
        <v>-1103.4</v>
      </c>
      <c r="N75" s="102" t="n">
        <f aca="false">'Weekly Cash Flow'!M$34</f>
        <v>-955.4</v>
      </c>
      <c r="O75" s="102" t="n">
        <f aca="false">'Weekly Cash Flow'!N$34</f>
        <v>-581.9</v>
      </c>
    </row>
    <row r="76" customFormat="false" ht="12" hidden="false" customHeight="true" outlineLevel="0" collapsed="false">
      <c r="B76" s="101" t="s">
        <v>541</v>
      </c>
      <c r="C76" s="102" t="n">
        <f aca="false">C74+C75</f>
        <v>-19.6291666666666</v>
      </c>
      <c r="D76" s="102" t="n">
        <f aca="false">D74+D75</f>
        <v>203.7</v>
      </c>
      <c r="E76" s="102" t="n">
        <f aca="false">E74+E75</f>
        <v>-334.3</v>
      </c>
      <c r="F76" s="102" t="n">
        <f aca="false">F74+F75</f>
        <v>110.1</v>
      </c>
      <c r="G76" s="102" t="n">
        <f aca="false">G74+G75</f>
        <v>134.5</v>
      </c>
      <c r="H76" s="102" t="n">
        <f aca="false">H74+H75</f>
        <v>185.427023263889</v>
      </c>
      <c r="I76" s="102" t="n">
        <f aca="false">I74+I75</f>
        <v>-38.2000000000002</v>
      </c>
      <c r="J76" s="102" t="n">
        <f aca="false">J74+J75</f>
        <v>-126.1</v>
      </c>
      <c r="K76" s="102" t="n">
        <f aca="false">K74+K75</f>
        <v>1.69999999999993</v>
      </c>
      <c r="L76" s="102" t="n">
        <f aca="false">L74+L75</f>
        <v>126.682464461603</v>
      </c>
      <c r="M76" s="102" t="n">
        <f aca="false">M74+M75</f>
        <v>-485.5</v>
      </c>
      <c r="N76" s="102" t="n">
        <f aca="false">N74+N75</f>
        <v>375.2</v>
      </c>
      <c r="O76" s="102" t="n">
        <f aca="false">O74+O75</f>
        <v>177.6</v>
      </c>
    </row>
    <row r="77" customFormat="false" ht="12" hidden="false" customHeight="true" outlineLevel="0" collapsed="false">
      <c r="B77" s="101" t="s">
        <v>109</v>
      </c>
      <c r="C77" s="102" t="n">
        <f aca="false">Assumptions!$B$13</f>
        <v>620</v>
      </c>
      <c r="D77" s="102" t="n">
        <f aca="false">C80</f>
        <v>250</v>
      </c>
      <c r="E77" s="102" t="n">
        <f aca="false">D80</f>
        <v>250</v>
      </c>
      <c r="F77" s="102" t="n">
        <f aca="false">E80</f>
        <v>250</v>
      </c>
      <c r="G77" s="102" t="n">
        <f aca="false">F80</f>
        <v>250</v>
      </c>
      <c r="H77" s="102" t="n">
        <f aca="false">G80</f>
        <v>250</v>
      </c>
      <c r="I77" s="102" t="n">
        <f aca="false">H80</f>
        <v>250</v>
      </c>
      <c r="J77" s="102" t="n">
        <f aca="false">I80</f>
        <v>250</v>
      </c>
      <c r="K77" s="102" t="n">
        <f aca="false">J80</f>
        <v>250</v>
      </c>
      <c r="L77" s="102" t="n">
        <f aca="false">K80</f>
        <v>250</v>
      </c>
      <c r="M77" s="102" t="n">
        <f aca="false">L80</f>
        <v>250</v>
      </c>
      <c r="N77" s="102" t="n">
        <f aca="false">M80</f>
        <v>250</v>
      </c>
      <c r="O77" s="102" t="n">
        <f aca="false">N80</f>
        <v>250</v>
      </c>
    </row>
    <row r="78" customFormat="false" ht="12" hidden="false" customHeight="true" outlineLevel="0" collapsed="false">
      <c r="B78" s="101" t="s">
        <v>542</v>
      </c>
      <c r="C78" s="102" t="n">
        <f aca="false">Assumptions!$B$15</f>
        <v>3450</v>
      </c>
      <c r="D78" s="102" t="n">
        <f aca="false">C78+C79</f>
        <v>3099.62916666667</v>
      </c>
      <c r="E78" s="102" t="n">
        <f aca="false">D78+D79</f>
        <v>2895.92916666667</v>
      </c>
      <c r="F78" s="102" t="n">
        <f aca="false">E78+E79</f>
        <v>3230.22916666667</v>
      </c>
      <c r="G78" s="102" t="n">
        <f aca="false">F78+F79</f>
        <v>3120.12916666667</v>
      </c>
      <c r="H78" s="102" t="n">
        <f aca="false">G78+G79</f>
        <v>2985.62916666667</v>
      </c>
      <c r="I78" s="102" t="n">
        <f aca="false">H78+H79</f>
        <v>2800.20214340278</v>
      </c>
      <c r="J78" s="102" t="n">
        <f aca="false">I78+I79</f>
        <v>2838.40214340278</v>
      </c>
      <c r="K78" s="102" t="n">
        <f aca="false">J78+J79</f>
        <v>2964.50214340278</v>
      </c>
      <c r="L78" s="102" t="n">
        <f aca="false">K78+K79</f>
        <v>2962.80214340278</v>
      </c>
      <c r="M78" s="102" t="n">
        <f aca="false">L78+L79</f>
        <v>2836.11967894118</v>
      </c>
      <c r="N78" s="102" t="n">
        <f aca="false">M78+M79</f>
        <v>3321.61967894118</v>
      </c>
      <c r="O78" s="102" t="n">
        <f aca="false">N78+N79</f>
        <v>2946.41967894118</v>
      </c>
    </row>
    <row r="79" customFormat="false" ht="12" hidden="false" customHeight="true" outlineLevel="0" collapsed="false">
      <c r="B79" s="101" t="s">
        <v>543</v>
      </c>
      <c r="C79" s="102" t="n">
        <f aca="false">MAX(0,MIN(Assumptions!$B$14-C78,Assumptions!$B$17-(C77+C76)))-MIN(C78,MAX(0,(C77+C76)-Assumptions!$B$17))</f>
        <v>-350.370833333333</v>
      </c>
      <c r="D79" s="102" t="n">
        <f aca="false">MAX(0,MIN(Assumptions!$B$14-D78,Assumptions!$B$17-(D77+D76)))-MIN(D78,MAX(0,(D77+D76)-Assumptions!$B$17))</f>
        <v>-203.7</v>
      </c>
      <c r="E79" s="102" t="n">
        <f aca="false">MAX(0,MIN(Assumptions!$B$14-E78,Assumptions!$B$17-(E77+E76)))-MIN(E78,MAX(0,(E77+E76)-Assumptions!$B$17))</f>
        <v>334.3</v>
      </c>
      <c r="F79" s="102" t="n">
        <f aca="false">MAX(0,MIN(Assumptions!$B$14-F78,Assumptions!$B$17-(F77+F76)))-MIN(F78,MAX(0,(F77+F76)-Assumptions!$B$17))</f>
        <v>-110.1</v>
      </c>
      <c r="G79" s="102" t="n">
        <f aca="false">MAX(0,MIN(Assumptions!$B$14-G78,Assumptions!$B$17-(G77+G76)))-MIN(G78,MAX(0,(G77+G76)-Assumptions!$B$17))</f>
        <v>-134.5</v>
      </c>
      <c r="H79" s="102" t="n">
        <f aca="false">MAX(0,MIN(Assumptions!$B$14-H78,Assumptions!$B$17-(H77+H76)))-MIN(H78,MAX(0,(H77+H76)-Assumptions!$B$17))</f>
        <v>-185.427023263889</v>
      </c>
      <c r="I79" s="102" t="n">
        <f aca="false">MAX(0,MIN(Assumptions!$B$14-I78,Assumptions!$B$17-(I77+I76)))-MIN(I78,MAX(0,(I77+I76)-Assumptions!$B$17))</f>
        <v>38.2000000000002</v>
      </c>
      <c r="J79" s="102" t="n">
        <f aca="false">MAX(0,MIN(Assumptions!$B$14-J78,Assumptions!$B$17-(J77+J76)))-MIN(J78,MAX(0,(J77+J76)-Assumptions!$B$17))</f>
        <v>126.1</v>
      </c>
      <c r="K79" s="102" t="n">
        <f aca="false">MAX(0,MIN(Assumptions!$B$14-K78,Assumptions!$B$17-(K77+K76)))-MIN(K78,MAX(0,(K77+K76)-Assumptions!$B$17))</f>
        <v>-1.69999999999993</v>
      </c>
      <c r="L79" s="102" t="n">
        <f aca="false">MAX(0,MIN(Assumptions!$B$14-L78,Assumptions!$B$17-(L77+L76)))-MIN(L78,MAX(0,(L77+L76)-Assumptions!$B$17))</f>
        <v>-126.682464461603</v>
      </c>
      <c r="M79" s="102" t="n">
        <f aca="false">MAX(0,MIN(Assumptions!$B$14-M78,Assumptions!$B$17-(M77+M76)))-MIN(M78,MAX(0,(M77+M76)-Assumptions!$B$17))</f>
        <v>485.5</v>
      </c>
      <c r="N79" s="102" t="n">
        <f aca="false">MAX(0,MIN(Assumptions!$B$14-N78,Assumptions!$B$17-(N77+N76)))-MIN(N78,MAX(0,(N77+N76)-Assumptions!$B$17))</f>
        <v>-375.2</v>
      </c>
      <c r="O79" s="102" t="n">
        <f aca="false">MAX(0,MIN(Assumptions!$B$14-O78,Assumptions!$B$17-(O77+O76)))-MIN(O78,MAX(0,(O77+O76)-Assumptions!$B$17))</f>
        <v>-177.6</v>
      </c>
    </row>
    <row r="80" customFormat="false" ht="12" hidden="false" customHeight="true" outlineLevel="0" collapsed="false">
      <c r="B80" s="101" t="s">
        <v>137</v>
      </c>
      <c r="C80" s="102" t="n">
        <f aca="false">C77+C76+C79</f>
        <v>250</v>
      </c>
      <c r="D80" s="102" t="n">
        <f aca="false">D77+D76+D79</f>
        <v>250</v>
      </c>
      <c r="E80" s="102" t="n">
        <f aca="false">E77+E76+E79</f>
        <v>250</v>
      </c>
      <c r="F80" s="102" t="n">
        <f aca="false">F77+F76+F79</f>
        <v>250</v>
      </c>
      <c r="G80" s="102" t="n">
        <f aca="false">G77+G76+G79</f>
        <v>250</v>
      </c>
      <c r="H80" s="102" t="n">
        <f aca="false">H77+H76+H79</f>
        <v>250</v>
      </c>
      <c r="I80" s="102" t="n">
        <f aca="false">I77+I76+I79</f>
        <v>250</v>
      </c>
      <c r="J80" s="102" t="n">
        <f aca="false">J77+J76+J79</f>
        <v>250</v>
      </c>
      <c r="K80" s="102" t="n">
        <f aca="false">K77+K76+K79</f>
        <v>250</v>
      </c>
      <c r="L80" s="102" t="n">
        <f aca="false">L77+L76+L79</f>
        <v>250</v>
      </c>
      <c r="M80" s="102" t="n">
        <f aca="false">M77+M76+M79</f>
        <v>250</v>
      </c>
      <c r="N80" s="102" t="n">
        <f aca="false">N77+N76+N79</f>
        <v>250</v>
      </c>
      <c r="O80" s="102" t="n">
        <f aca="false">O77+O76+O79</f>
        <v>250</v>
      </c>
    </row>
    <row r="81" customFormat="false" ht="12" hidden="false" customHeight="true" outlineLevel="0" collapsed="false">
      <c r="B81" s="101" t="s">
        <v>544</v>
      </c>
      <c r="C81" s="102" t="n">
        <f aca="false">Assumptions!$B$14-(C78+C79)</f>
        <v>900.370833333333</v>
      </c>
      <c r="D81" s="102" t="n">
        <f aca="false">Assumptions!$B$14-(D78+D79)</f>
        <v>1104.07083333333</v>
      </c>
      <c r="E81" s="102" t="n">
        <f aca="false">Assumptions!$B$14-(E78+E79)</f>
        <v>769.770833333333</v>
      </c>
      <c r="F81" s="102" t="n">
        <f aca="false">Assumptions!$B$14-(F78+F79)</f>
        <v>879.870833333333</v>
      </c>
      <c r="G81" s="102" t="n">
        <f aca="false">Assumptions!$B$14-(G78+G79)</f>
        <v>1014.37083333333</v>
      </c>
      <c r="H81" s="102" t="n">
        <f aca="false">Assumptions!$B$14-(H78+H79)</f>
        <v>1199.79785659722</v>
      </c>
      <c r="I81" s="102" t="n">
        <f aca="false">Assumptions!$B$14-(I78+I79)</f>
        <v>1161.59785659722</v>
      </c>
      <c r="J81" s="102" t="n">
        <f aca="false">Assumptions!$B$14-(J78+J79)</f>
        <v>1035.49785659722</v>
      </c>
      <c r="K81" s="102" t="n">
        <f aca="false">Assumptions!$B$14-(K78+K79)</f>
        <v>1037.19785659722</v>
      </c>
      <c r="L81" s="102" t="n">
        <f aca="false">Assumptions!$B$14-(L78+L79)</f>
        <v>1163.88032105882</v>
      </c>
      <c r="M81" s="102" t="n">
        <f aca="false">Assumptions!$B$14-(M78+M79)</f>
        <v>678.380321058824</v>
      </c>
      <c r="N81" s="102" t="n">
        <f aca="false">Assumptions!$B$14-(N78+N79)</f>
        <v>1053.58032105882</v>
      </c>
      <c r="O81" s="102" t="n">
        <f aca="false">Assumptions!$B$14-(O78+O79)</f>
        <v>1231.18032105882</v>
      </c>
    </row>
    <row r="82" customFormat="false" ht="12" hidden="false" customHeight="true" outlineLevel="0" collapsed="false">
      <c r="B82" s="103" t="s">
        <v>545</v>
      </c>
      <c r="C82" s="104" t="n">
        <f aca="false">C80+C81</f>
        <v>1150.37083333333</v>
      </c>
      <c r="D82" s="104" t="n">
        <f aca="false">D80+D81</f>
        <v>1354.07083333333</v>
      </c>
      <c r="E82" s="104" t="n">
        <f aca="false">E80+E81</f>
        <v>1019.77083333333</v>
      </c>
      <c r="F82" s="104" t="n">
        <f aca="false">F80+F81</f>
        <v>1129.87083333333</v>
      </c>
      <c r="G82" s="104" t="n">
        <f aca="false">G80+G81</f>
        <v>1264.37083333333</v>
      </c>
      <c r="H82" s="104" t="n">
        <f aca="false">H80+H81</f>
        <v>1449.79785659722</v>
      </c>
      <c r="I82" s="104" t="n">
        <f aca="false">I80+I81</f>
        <v>1411.59785659722</v>
      </c>
      <c r="J82" s="104" t="n">
        <f aca="false">J80+J81</f>
        <v>1285.49785659722</v>
      </c>
      <c r="K82" s="104" t="n">
        <f aca="false">K80+K81</f>
        <v>1287.19785659722</v>
      </c>
      <c r="L82" s="104" t="n">
        <f aca="false">L80+L81</f>
        <v>1413.88032105882</v>
      </c>
      <c r="M82" s="104" t="n">
        <f aca="false">M80+M81</f>
        <v>928.380321058824</v>
      </c>
      <c r="N82" s="104" t="n">
        <f aca="false">N80+N81</f>
        <v>1303.58032105882</v>
      </c>
      <c r="O82" s="104" t="n">
        <f aca="false">O80+O81</f>
        <v>1481.18032105882</v>
      </c>
    </row>
    <row r="84" customFormat="false" ht="13.5" hidden="false" customHeight="true" outlineLevel="0" collapsed="false">
      <c r="A84" s="97" t="s">
        <v>548</v>
      </c>
      <c r="B84" s="97"/>
      <c r="C84" s="97"/>
      <c r="D84" s="97"/>
      <c r="E84" s="97"/>
      <c r="F84" s="97"/>
      <c r="G84" s="97"/>
    </row>
    <row r="85" customFormat="false" ht="15" hidden="false" customHeight="false" outlineLevel="0" collapsed="false">
      <c r="A85" s="98"/>
      <c r="B85" s="99" t="s">
        <v>103</v>
      </c>
      <c r="C85" s="100" t="n">
        <v>1</v>
      </c>
      <c r="D85" s="100" t="n">
        <v>2</v>
      </c>
      <c r="E85" s="100" t="n">
        <v>3</v>
      </c>
      <c r="F85" s="100" t="n">
        <v>4</v>
      </c>
      <c r="G85" s="100" t="n">
        <v>5</v>
      </c>
      <c r="H85" s="100" t="n">
        <v>6</v>
      </c>
      <c r="I85" s="100" t="n">
        <v>7</v>
      </c>
      <c r="J85" s="100" t="n">
        <v>8</v>
      </c>
      <c r="K85" s="100" t="n">
        <v>9</v>
      </c>
      <c r="L85" s="100" t="n">
        <v>10</v>
      </c>
      <c r="M85" s="100" t="n">
        <v>11</v>
      </c>
      <c r="N85" s="100" t="n">
        <v>12</v>
      </c>
      <c r="O85" s="100" t="n">
        <v>13</v>
      </c>
    </row>
    <row r="86" customFormat="false" ht="12" hidden="false" customHeight="true" outlineLevel="0" collapsed="false">
      <c r="B86" s="101" t="s">
        <v>539</v>
      </c>
      <c r="C86" s="102" t="n">
        <f aca="false">SUMIFS('Receipts Build'!$O$34:$O$98,'Receipts Build'!$Q$34:$Q$98,"Trade",'Receipts Build'!$N$34:$N$98,"&gt;="&amp;'Weekly Cash Flow'!B$5-10,'Receipts Build'!$N$34:$N$98,"&lt;="&amp;'Weekly Cash Flow'!B$6-10)+SUMIFS('Receipts Build'!$O$103:$O$207,'Receipts Build'!$Q$103:$Q$207,"Trade",'Receipts Build'!$N$103:$N$207,"&gt;="&amp;'Weekly Cash Flow'!B$5-10,'Receipts Build'!$N$103:$N$207,"&lt;="&amp;'Weekly Cash Flow'!B$6-10)</f>
        <v>0</v>
      </c>
      <c r="D86" s="102" t="n">
        <f aca="false">SUMIFS('Receipts Build'!$O$34:$O$98,'Receipts Build'!$Q$34:$Q$98,"Trade",'Receipts Build'!$N$34:$N$98,"&gt;="&amp;'Weekly Cash Flow'!C$5-10,'Receipts Build'!$N$34:$N$98,"&lt;="&amp;'Weekly Cash Flow'!C$6-10)+SUMIFS('Receipts Build'!$O$103:$O$207,'Receipts Build'!$Q$103:$Q$207,"Trade",'Receipts Build'!$N$103:$N$207,"&gt;="&amp;'Weekly Cash Flow'!C$5-10,'Receipts Build'!$N$103:$N$207,"&lt;="&amp;'Weekly Cash Flow'!C$6-10)</f>
        <v>100.3</v>
      </c>
      <c r="E86" s="102" t="n">
        <f aca="false">SUMIFS('Receipts Build'!$O$34:$O$98,'Receipts Build'!$Q$34:$Q$98,"Trade",'Receipts Build'!$N$34:$N$98,"&gt;="&amp;'Weekly Cash Flow'!D$5-10,'Receipts Build'!$N$34:$N$98,"&lt;="&amp;'Weekly Cash Flow'!D$6-10)+SUMIFS('Receipts Build'!$O$103:$O$207,'Receipts Build'!$Q$103:$Q$207,"Trade",'Receipts Build'!$N$103:$N$207,"&gt;="&amp;'Weekly Cash Flow'!D$5-10,'Receipts Build'!$N$103:$N$207,"&lt;="&amp;'Weekly Cash Flow'!D$6-10)</f>
        <v>657.5</v>
      </c>
      <c r="F86" s="102" t="n">
        <f aca="false">SUMIFS('Receipts Build'!$O$34:$O$98,'Receipts Build'!$Q$34:$Q$98,"Trade",'Receipts Build'!$N$34:$N$98,"&gt;="&amp;'Weekly Cash Flow'!E$5-10,'Receipts Build'!$N$34:$N$98,"&lt;="&amp;'Weekly Cash Flow'!E$6-10)+SUMIFS('Receipts Build'!$O$103:$O$207,'Receipts Build'!$Q$103:$Q$207,"Trade",'Receipts Build'!$N$103:$N$207,"&gt;="&amp;'Weekly Cash Flow'!E$5-10,'Receipts Build'!$N$103:$N$207,"&lt;="&amp;'Weekly Cash Flow'!E$6-10)</f>
        <v>659.2</v>
      </c>
      <c r="G86" s="102" t="n">
        <f aca="false">SUMIFS('Receipts Build'!$O$34:$O$98,'Receipts Build'!$Q$34:$Q$98,"Trade",'Receipts Build'!$N$34:$N$98,"&gt;="&amp;'Weekly Cash Flow'!F$5-10,'Receipts Build'!$N$34:$N$98,"&lt;="&amp;'Weekly Cash Flow'!F$6-10)+SUMIFS('Receipts Build'!$O$103:$O$207,'Receipts Build'!$Q$103:$Q$207,"Trade",'Receipts Build'!$N$103:$N$207,"&gt;="&amp;'Weekly Cash Flow'!F$5-10,'Receipts Build'!$N$103:$N$207,"&lt;="&amp;'Weekly Cash Flow'!F$6-10)</f>
        <v>696.7</v>
      </c>
      <c r="H86" s="102" t="n">
        <f aca="false">SUMIFS('Receipts Build'!$O$34:$O$98,'Receipts Build'!$Q$34:$Q$98,"Trade",'Receipts Build'!$N$34:$N$98,"&gt;="&amp;'Weekly Cash Flow'!G$5-10,'Receipts Build'!$N$34:$N$98,"&lt;="&amp;'Weekly Cash Flow'!G$6-10)+SUMIFS('Receipts Build'!$O$103:$O$207,'Receipts Build'!$Q$103:$Q$207,"Trade",'Receipts Build'!$N$103:$N$207,"&gt;="&amp;'Weekly Cash Flow'!G$5-10,'Receipts Build'!$N$103:$N$207,"&lt;="&amp;'Weekly Cash Flow'!G$6-10)</f>
        <v>680.2</v>
      </c>
      <c r="I86" s="102" t="n">
        <f aca="false">SUMIFS('Receipts Build'!$O$34:$O$98,'Receipts Build'!$Q$34:$Q$98,"Trade",'Receipts Build'!$N$34:$N$98,"&gt;="&amp;'Weekly Cash Flow'!H$5-10,'Receipts Build'!$N$34:$N$98,"&lt;="&amp;'Weekly Cash Flow'!H$6-10)+SUMIFS('Receipts Build'!$O$103:$O$207,'Receipts Build'!$Q$103:$Q$207,"Trade",'Receipts Build'!$N$103:$N$207,"&gt;="&amp;'Weekly Cash Flow'!H$5-10,'Receipts Build'!$N$103:$N$207,"&lt;="&amp;'Weekly Cash Flow'!H$6-10)</f>
        <v>678.1</v>
      </c>
      <c r="J86" s="102" t="n">
        <f aca="false">SUMIFS('Receipts Build'!$O$34:$O$98,'Receipts Build'!$Q$34:$Q$98,"Trade",'Receipts Build'!$N$34:$N$98,"&gt;="&amp;'Weekly Cash Flow'!I$5-10,'Receipts Build'!$N$34:$N$98,"&lt;="&amp;'Weekly Cash Flow'!I$6-10)+SUMIFS('Receipts Build'!$O$103:$O$207,'Receipts Build'!$Q$103:$Q$207,"Trade",'Receipts Build'!$N$103:$N$207,"&gt;="&amp;'Weekly Cash Flow'!I$5-10,'Receipts Build'!$N$103:$N$207,"&lt;="&amp;'Weekly Cash Flow'!I$6-10)</f>
        <v>656.7</v>
      </c>
      <c r="K86" s="102" t="n">
        <f aca="false">SUMIFS('Receipts Build'!$O$34:$O$98,'Receipts Build'!$Q$34:$Q$98,"Trade",'Receipts Build'!$N$34:$N$98,"&gt;="&amp;'Weekly Cash Flow'!J$5-10,'Receipts Build'!$N$34:$N$98,"&lt;="&amp;'Weekly Cash Flow'!J$6-10)+SUMIFS('Receipts Build'!$O$103:$O$207,'Receipts Build'!$Q$103:$Q$207,"Trade",'Receipts Build'!$N$103:$N$207,"&gt;="&amp;'Weekly Cash Flow'!J$5-10,'Receipts Build'!$N$103:$N$207,"&lt;="&amp;'Weekly Cash Flow'!J$6-10)</f>
        <v>411.8</v>
      </c>
      <c r="L86" s="102" t="n">
        <f aca="false">SUMIFS('Receipts Build'!$O$34:$O$98,'Receipts Build'!$Q$34:$Q$98,"Trade",'Receipts Build'!$N$34:$N$98,"&gt;="&amp;'Weekly Cash Flow'!K$5-10,'Receipts Build'!$N$34:$N$98,"&lt;="&amp;'Weekly Cash Flow'!K$6-10)+SUMIFS('Receipts Build'!$O$103:$O$207,'Receipts Build'!$Q$103:$Q$207,"Trade",'Receipts Build'!$N$103:$N$207,"&gt;="&amp;'Weekly Cash Flow'!K$5-10,'Receipts Build'!$N$103:$N$207,"&lt;="&amp;'Weekly Cash Flow'!K$6-10)</f>
        <v>600.9</v>
      </c>
      <c r="M86" s="102" t="n">
        <f aca="false">SUMIFS('Receipts Build'!$O$34:$O$98,'Receipts Build'!$Q$34:$Q$98,"Trade",'Receipts Build'!$N$34:$N$98,"&gt;="&amp;'Weekly Cash Flow'!L$5-10,'Receipts Build'!$N$34:$N$98,"&lt;="&amp;'Weekly Cash Flow'!L$6-10)+SUMIFS('Receipts Build'!$O$103:$O$207,'Receipts Build'!$Q$103:$Q$207,"Trade",'Receipts Build'!$N$103:$N$207,"&gt;="&amp;'Weekly Cash Flow'!L$5-10,'Receipts Build'!$N$103:$N$207,"&lt;="&amp;'Weekly Cash Flow'!L$6-10)</f>
        <v>376.4</v>
      </c>
      <c r="N86" s="102" t="n">
        <f aca="false">SUMIFS('Receipts Build'!$O$34:$O$98,'Receipts Build'!$Q$34:$Q$98,"Trade",'Receipts Build'!$N$34:$N$98,"&gt;="&amp;'Weekly Cash Flow'!M$5-10,'Receipts Build'!$N$34:$N$98,"&lt;="&amp;'Weekly Cash Flow'!M$6-10)+SUMIFS('Receipts Build'!$O$103:$O$207,'Receipts Build'!$Q$103:$Q$207,"Trade",'Receipts Build'!$N$103:$N$207,"&gt;="&amp;'Weekly Cash Flow'!M$5-10,'Receipts Build'!$N$103:$N$207,"&lt;="&amp;'Weekly Cash Flow'!M$6-10)</f>
        <v>619.5</v>
      </c>
      <c r="O86" s="102" t="n">
        <f aca="false">SUMIFS('Receipts Build'!$O$34:$O$98,'Receipts Build'!$Q$34:$Q$98,"Trade",'Receipts Build'!$N$34:$N$98,"&gt;="&amp;'Weekly Cash Flow'!N$5-10,'Receipts Build'!$N$34:$N$98,"&lt;="&amp;'Weekly Cash Flow'!N$6-10)+SUMIFS('Receipts Build'!$O$103:$O$207,'Receipts Build'!$Q$103:$Q$207,"Trade",'Receipts Build'!$N$103:$N$207,"&gt;="&amp;'Weekly Cash Flow'!N$5-10,'Receipts Build'!$N$103:$N$207,"&lt;="&amp;'Weekly Cash Flow'!N$6-10)</f>
        <v>677.6</v>
      </c>
    </row>
    <row r="87" customFormat="false" ht="12" hidden="false" customHeight="true" outlineLevel="0" collapsed="false">
      <c r="B87" s="101" t="s">
        <v>540</v>
      </c>
      <c r="C87" s="102" t="n">
        <f aca="false">SUMIFS('Receipts Build'!$O$34:$O$98,'Receipts Build'!$Q$34:$Q$98,"Fixed",'Receipts Build'!$N$34:$N$98,"&gt;="&amp;'Weekly Cash Flow'!B$5,'Receipts Build'!$N$34:$N$98,"&lt;="&amp;'Weekly Cash Flow'!B$6)+SUMIFS('Receipts Build'!$O$103:$O$207,'Receipts Build'!$Q$103:$Q$207,"Fixed",'Receipts Build'!$N$103:$N$207,"&gt;="&amp;'Weekly Cash Flow'!B$5,'Receipts Build'!$N$103:$N$207,"&lt;="&amp;'Weekly Cash Flow'!B$6)+SUMIFS('Receipts Build'!$O$212:$O$215,'Receipts Build'!$Q$212:$Q$215,"Fixed",'Receipts Build'!$N$212:$N$215,"&gt;="&amp;'Weekly Cash Flow'!B$5,'Receipts Build'!$N$212:$N$215,"&lt;="&amp;'Weekly Cash Flow'!B$6)</f>
        <v>462.3</v>
      </c>
      <c r="D87" s="102" t="n">
        <f aca="false">SUMIFS('Receipts Build'!$O$34:$O$98,'Receipts Build'!$Q$34:$Q$98,"Fixed",'Receipts Build'!$N$34:$N$98,"&gt;="&amp;'Weekly Cash Flow'!C$5,'Receipts Build'!$N$34:$N$98,"&lt;="&amp;'Weekly Cash Flow'!C$6)+SUMIFS('Receipts Build'!$O$103:$O$207,'Receipts Build'!$Q$103:$Q$207,"Fixed",'Receipts Build'!$N$103:$N$207,"&gt;="&amp;'Weekly Cash Flow'!C$5,'Receipts Build'!$N$103:$N$207,"&lt;="&amp;'Weekly Cash Flow'!C$6)+SUMIFS('Receipts Build'!$O$212:$O$215,'Receipts Build'!$Q$212:$Q$215,"Fixed",'Receipts Build'!$N$212:$N$215,"&gt;="&amp;'Weekly Cash Flow'!C$5,'Receipts Build'!$N$212:$N$215,"&lt;="&amp;'Weekly Cash Flow'!C$6)</f>
        <v>0</v>
      </c>
      <c r="E87" s="102" t="n">
        <f aca="false">SUMIFS('Receipts Build'!$O$34:$O$98,'Receipts Build'!$Q$34:$Q$98,"Fixed",'Receipts Build'!$N$34:$N$98,"&gt;="&amp;'Weekly Cash Flow'!D$5,'Receipts Build'!$N$34:$N$98,"&lt;="&amp;'Weekly Cash Flow'!D$6)+SUMIFS('Receipts Build'!$O$103:$O$207,'Receipts Build'!$Q$103:$Q$207,"Fixed",'Receipts Build'!$N$103:$N$207,"&gt;="&amp;'Weekly Cash Flow'!D$5,'Receipts Build'!$N$103:$N$207,"&lt;="&amp;'Weekly Cash Flow'!D$6)+SUMIFS('Receipts Build'!$O$212:$O$215,'Receipts Build'!$Q$212:$Q$215,"Fixed",'Receipts Build'!$N$212:$N$215,"&gt;="&amp;'Weekly Cash Flow'!D$5,'Receipts Build'!$N$212:$N$215,"&lt;="&amp;'Weekly Cash Flow'!D$6)</f>
        <v>28</v>
      </c>
      <c r="F87" s="102" t="n">
        <f aca="false">SUMIFS('Receipts Build'!$O$34:$O$98,'Receipts Build'!$Q$34:$Q$98,"Fixed",'Receipts Build'!$N$34:$N$98,"&gt;="&amp;'Weekly Cash Flow'!E$5,'Receipts Build'!$N$34:$N$98,"&lt;="&amp;'Weekly Cash Flow'!E$6)+SUMIFS('Receipts Build'!$O$103:$O$207,'Receipts Build'!$Q$103:$Q$207,"Fixed",'Receipts Build'!$N$103:$N$207,"&gt;="&amp;'Weekly Cash Flow'!E$5,'Receipts Build'!$N$103:$N$207,"&lt;="&amp;'Weekly Cash Flow'!E$6)+SUMIFS('Receipts Build'!$O$212:$O$215,'Receipts Build'!$Q$212:$Q$215,"Fixed",'Receipts Build'!$N$212:$N$215,"&gt;="&amp;'Weekly Cash Flow'!E$5,'Receipts Build'!$N$212:$N$215,"&lt;="&amp;'Weekly Cash Flow'!E$6)</f>
        <v>169.3</v>
      </c>
      <c r="G87" s="102" t="n">
        <f aca="false">SUMIFS('Receipts Build'!$O$34:$O$98,'Receipts Build'!$Q$34:$Q$98,"Fixed",'Receipts Build'!$N$34:$N$98,"&gt;="&amp;'Weekly Cash Flow'!F$5,'Receipts Build'!$N$34:$N$98,"&lt;="&amp;'Weekly Cash Flow'!F$6)+SUMIFS('Receipts Build'!$O$103:$O$207,'Receipts Build'!$Q$103:$Q$207,"Fixed",'Receipts Build'!$N$103:$N$207,"&gt;="&amp;'Weekly Cash Flow'!F$5,'Receipts Build'!$N$103:$N$207,"&lt;="&amp;'Weekly Cash Flow'!F$6)+SUMIFS('Receipts Build'!$O$212:$O$215,'Receipts Build'!$Q$212:$Q$215,"Fixed",'Receipts Build'!$N$212:$N$215,"&gt;="&amp;'Weekly Cash Flow'!F$5,'Receipts Build'!$N$212:$N$215,"&lt;="&amp;'Weekly Cash Flow'!F$6)</f>
        <v>0</v>
      </c>
      <c r="H87" s="102" t="n">
        <f aca="false">SUMIFS('Receipts Build'!$O$34:$O$98,'Receipts Build'!$Q$34:$Q$98,"Fixed",'Receipts Build'!$N$34:$N$98,"&gt;="&amp;'Weekly Cash Flow'!G$5,'Receipts Build'!$N$34:$N$98,"&lt;="&amp;'Weekly Cash Flow'!G$6)+SUMIFS('Receipts Build'!$O$103:$O$207,'Receipts Build'!$Q$103:$Q$207,"Fixed",'Receipts Build'!$N$103:$N$207,"&gt;="&amp;'Weekly Cash Flow'!G$5,'Receipts Build'!$N$103:$N$207,"&lt;="&amp;'Weekly Cash Flow'!G$6)+SUMIFS('Receipts Build'!$O$212:$O$215,'Receipts Build'!$Q$212:$Q$215,"Fixed",'Receipts Build'!$N$212:$N$215,"&gt;="&amp;'Weekly Cash Flow'!G$5,'Receipts Build'!$N$212:$N$215,"&lt;="&amp;'Weekly Cash Flow'!G$6)</f>
        <v>0</v>
      </c>
      <c r="I87" s="102" t="n">
        <f aca="false">SUMIFS('Receipts Build'!$O$34:$O$98,'Receipts Build'!$Q$34:$Q$98,"Fixed",'Receipts Build'!$N$34:$N$98,"&gt;="&amp;'Weekly Cash Flow'!H$5,'Receipts Build'!$N$34:$N$98,"&lt;="&amp;'Weekly Cash Flow'!H$6)+SUMIFS('Receipts Build'!$O$103:$O$207,'Receipts Build'!$Q$103:$Q$207,"Fixed",'Receipts Build'!$N$103:$N$207,"&gt;="&amp;'Weekly Cash Flow'!H$5,'Receipts Build'!$N$103:$N$207,"&lt;="&amp;'Weekly Cash Flow'!H$6)+SUMIFS('Receipts Build'!$O$212:$O$215,'Receipts Build'!$Q$212:$Q$215,"Fixed",'Receipts Build'!$N$212:$N$215,"&gt;="&amp;'Weekly Cash Flow'!H$5,'Receipts Build'!$N$212:$N$215,"&lt;="&amp;'Weekly Cash Flow'!H$6)</f>
        <v>0</v>
      </c>
      <c r="J87" s="102" t="n">
        <f aca="false">SUMIFS('Receipts Build'!$O$34:$O$98,'Receipts Build'!$Q$34:$Q$98,"Fixed",'Receipts Build'!$N$34:$N$98,"&gt;="&amp;'Weekly Cash Flow'!I$5,'Receipts Build'!$N$34:$N$98,"&lt;="&amp;'Weekly Cash Flow'!I$6)+SUMIFS('Receipts Build'!$O$103:$O$207,'Receipts Build'!$Q$103:$Q$207,"Fixed",'Receipts Build'!$N$103:$N$207,"&gt;="&amp;'Weekly Cash Flow'!I$5,'Receipts Build'!$N$103:$N$207,"&lt;="&amp;'Weekly Cash Flow'!I$6)+SUMIFS('Receipts Build'!$O$212:$O$215,'Receipts Build'!$Q$212:$Q$215,"Fixed",'Receipts Build'!$N$212:$N$215,"&gt;="&amp;'Weekly Cash Flow'!I$5,'Receipts Build'!$N$212:$N$215,"&lt;="&amp;'Weekly Cash Flow'!I$6)</f>
        <v>172.3</v>
      </c>
      <c r="K87" s="102" t="n">
        <f aca="false">SUMIFS('Receipts Build'!$O$34:$O$98,'Receipts Build'!$Q$34:$Q$98,"Fixed",'Receipts Build'!$N$34:$N$98,"&gt;="&amp;'Weekly Cash Flow'!J$5,'Receipts Build'!$N$34:$N$98,"&lt;="&amp;'Weekly Cash Flow'!J$6)+SUMIFS('Receipts Build'!$O$103:$O$207,'Receipts Build'!$Q$103:$Q$207,"Fixed",'Receipts Build'!$N$103:$N$207,"&gt;="&amp;'Weekly Cash Flow'!J$5,'Receipts Build'!$N$103:$N$207,"&lt;="&amp;'Weekly Cash Flow'!J$6)+SUMIFS('Receipts Build'!$O$212:$O$215,'Receipts Build'!$Q$212:$Q$215,"Fixed",'Receipts Build'!$N$212:$N$215,"&gt;="&amp;'Weekly Cash Flow'!J$5,'Receipts Build'!$N$212:$N$215,"&lt;="&amp;'Weekly Cash Flow'!J$6)</f>
        <v>0</v>
      </c>
      <c r="L87" s="102" t="n">
        <f aca="false">SUMIFS('Receipts Build'!$O$34:$O$98,'Receipts Build'!$Q$34:$Q$98,"Fixed",'Receipts Build'!$N$34:$N$98,"&gt;="&amp;'Weekly Cash Flow'!K$5,'Receipts Build'!$N$34:$N$98,"&lt;="&amp;'Weekly Cash Flow'!K$6)+SUMIFS('Receipts Build'!$O$103:$O$207,'Receipts Build'!$Q$103:$Q$207,"Fixed",'Receipts Build'!$N$103:$N$207,"&gt;="&amp;'Weekly Cash Flow'!K$5,'Receipts Build'!$N$103:$N$207,"&lt;="&amp;'Weekly Cash Flow'!K$6)+SUMIFS('Receipts Build'!$O$212:$O$215,'Receipts Build'!$Q$212:$Q$215,"Fixed",'Receipts Build'!$N$212:$N$215,"&gt;="&amp;'Weekly Cash Flow'!K$5,'Receipts Build'!$N$212:$N$215,"&lt;="&amp;'Weekly Cash Flow'!K$6)</f>
        <v>0</v>
      </c>
      <c r="M87" s="102" t="n">
        <f aca="false">SUMIFS('Receipts Build'!$O$34:$O$98,'Receipts Build'!$Q$34:$Q$98,"Fixed",'Receipts Build'!$N$34:$N$98,"&gt;="&amp;'Weekly Cash Flow'!L$5,'Receipts Build'!$N$34:$N$98,"&lt;="&amp;'Weekly Cash Flow'!L$6)+SUMIFS('Receipts Build'!$O$103:$O$207,'Receipts Build'!$Q$103:$Q$207,"Fixed",'Receipts Build'!$N$103:$N$207,"&gt;="&amp;'Weekly Cash Flow'!L$5,'Receipts Build'!$N$103:$N$207,"&lt;="&amp;'Weekly Cash Flow'!L$6)+SUMIFS('Receipts Build'!$O$212:$O$215,'Receipts Build'!$Q$212:$Q$215,"Fixed",'Receipts Build'!$N$212:$N$215,"&gt;="&amp;'Weekly Cash Flow'!L$5,'Receipts Build'!$N$212:$N$215,"&lt;="&amp;'Weekly Cash Flow'!L$6)</f>
        <v>0</v>
      </c>
      <c r="N87" s="102" t="n">
        <f aca="false">SUMIFS('Receipts Build'!$O$34:$O$98,'Receipts Build'!$Q$34:$Q$98,"Fixed",'Receipts Build'!$N$34:$N$98,"&gt;="&amp;'Weekly Cash Flow'!M$5,'Receipts Build'!$N$34:$N$98,"&lt;="&amp;'Weekly Cash Flow'!M$6)+SUMIFS('Receipts Build'!$O$103:$O$207,'Receipts Build'!$Q$103:$Q$207,"Fixed",'Receipts Build'!$N$103:$N$207,"&gt;="&amp;'Weekly Cash Flow'!M$5,'Receipts Build'!$N$103:$N$207,"&lt;="&amp;'Weekly Cash Flow'!M$6)+SUMIFS('Receipts Build'!$O$212:$O$215,'Receipts Build'!$Q$212:$Q$215,"Fixed",'Receipts Build'!$N$212:$N$215,"&gt;="&amp;'Weekly Cash Flow'!M$5,'Receipts Build'!$N$212:$N$215,"&lt;="&amp;'Weekly Cash Flow'!M$6)</f>
        <v>689.4</v>
      </c>
      <c r="O87" s="102" t="n">
        <f aca="false">SUMIFS('Receipts Build'!$O$34:$O$98,'Receipts Build'!$Q$34:$Q$98,"Fixed",'Receipts Build'!$N$34:$N$98,"&gt;="&amp;'Weekly Cash Flow'!N$5,'Receipts Build'!$N$34:$N$98,"&lt;="&amp;'Weekly Cash Flow'!N$6)+SUMIFS('Receipts Build'!$O$103:$O$207,'Receipts Build'!$Q$103:$Q$207,"Fixed",'Receipts Build'!$N$103:$N$207,"&gt;="&amp;'Weekly Cash Flow'!N$5,'Receipts Build'!$N$103:$N$207,"&lt;="&amp;'Weekly Cash Flow'!N$6)+SUMIFS('Receipts Build'!$O$212:$O$215,'Receipts Build'!$Q$212:$Q$215,"Fixed",'Receipts Build'!$N$212:$N$215,"&gt;="&amp;'Weekly Cash Flow'!N$5,'Receipts Build'!$N$212:$N$215,"&lt;="&amp;'Weekly Cash Flow'!N$6)</f>
        <v>160.3</v>
      </c>
    </row>
    <row r="88" customFormat="false" ht="12" hidden="false" customHeight="true" outlineLevel="0" collapsed="false">
      <c r="B88" s="101" t="s">
        <v>117</v>
      </c>
      <c r="C88" s="102" t="n">
        <f aca="false">C86+C87</f>
        <v>462.3</v>
      </c>
      <c r="D88" s="102" t="n">
        <f aca="false">D86+D87</f>
        <v>100.3</v>
      </c>
      <c r="E88" s="102" t="n">
        <f aca="false">E86+E87</f>
        <v>685.5</v>
      </c>
      <c r="F88" s="102" t="n">
        <f aca="false">F86+F87</f>
        <v>828.5</v>
      </c>
      <c r="G88" s="102" t="n">
        <f aca="false">G86+G87</f>
        <v>696.7</v>
      </c>
      <c r="H88" s="102" t="n">
        <f aca="false">H86+H87</f>
        <v>680.2</v>
      </c>
      <c r="I88" s="102" t="n">
        <f aca="false">I86+I87</f>
        <v>678.1</v>
      </c>
      <c r="J88" s="102" t="n">
        <f aca="false">J86+J87</f>
        <v>829</v>
      </c>
      <c r="K88" s="102" t="n">
        <f aca="false">K86+K87</f>
        <v>411.8</v>
      </c>
      <c r="L88" s="102" t="n">
        <f aca="false">L86+L87</f>
        <v>600.9</v>
      </c>
      <c r="M88" s="102" t="n">
        <f aca="false">M86+M87</f>
        <v>376.4</v>
      </c>
      <c r="N88" s="102" t="n">
        <f aca="false">N86+N87</f>
        <v>1308.9</v>
      </c>
      <c r="O88" s="102" t="n">
        <f aca="false">O86+O87</f>
        <v>837.9</v>
      </c>
    </row>
    <row r="89" customFormat="false" ht="12" hidden="false" customHeight="true" outlineLevel="0" collapsed="false">
      <c r="B89" s="101" t="s">
        <v>132</v>
      </c>
      <c r="C89" s="102" t="n">
        <f aca="false">'Weekly Cash Flow'!B$34</f>
        <v>-528.729166666667</v>
      </c>
      <c r="D89" s="102" t="n">
        <f aca="false">'Weekly Cash Flow'!C$34</f>
        <v>-369.5</v>
      </c>
      <c r="E89" s="102" t="n">
        <f aca="false">'Weekly Cash Flow'!D$34</f>
        <v>-1029.5</v>
      </c>
      <c r="F89" s="102" t="n">
        <f aca="false">'Weekly Cash Flow'!E$34</f>
        <v>-745.2</v>
      </c>
      <c r="G89" s="102" t="n">
        <f aca="false">'Weekly Cash Flow'!F$34</f>
        <v>-553.7</v>
      </c>
      <c r="H89" s="102" t="n">
        <f aca="false">'Weekly Cash Flow'!G$34</f>
        <v>-488.672976736111</v>
      </c>
      <c r="I89" s="102" t="n">
        <f aca="false">'Weekly Cash Flow'!H$34</f>
        <v>-702.9</v>
      </c>
      <c r="J89" s="102" t="n">
        <f aca="false">'Weekly Cash Flow'!I$34</f>
        <v>-701.7</v>
      </c>
      <c r="K89" s="102" t="n">
        <f aca="false">'Weekly Cash Flow'!J$34</f>
        <v>-420.5</v>
      </c>
      <c r="L89" s="102" t="n">
        <f aca="false">'Weekly Cash Flow'!K$34</f>
        <v>-476.017535538397</v>
      </c>
      <c r="M89" s="102" t="n">
        <f aca="false">'Weekly Cash Flow'!L$34</f>
        <v>-1103.4</v>
      </c>
      <c r="N89" s="102" t="n">
        <f aca="false">'Weekly Cash Flow'!M$34</f>
        <v>-955.4</v>
      </c>
      <c r="O89" s="102" t="n">
        <f aca="false">'Weekly Cash Flow'!N$34</f>
        <v>-581.9</v>
      </c>
    </row>
    <row r="90" customFormat="false" ht="12" hidden="false" customHeight="true" outlineLevel="0" collapsed="false">
      <c r="B90" s="101" t="s">
        <v>541</v>
      </c>
      <c r="C90" s="102" t="n">
        <f aca="false">C88+C89</f>
        <v>-66.4291666666666</v>
      </c>
      <c r="D90" s="102" t="n">
        <f aca="false">D88+D89</f>
        <v>-269.2</v>
      </c>
      <c r="E90" s="102" t="n">
        <f aca="false">E88+E89</f>
        <v>-344</v>
      </c>
      <c r="F90" s="102" t="n">
        <f aca="false">F88+F89</f>
        <v>83.3</v>
      </c>
      <c r="G90" s="102" t="n">
        <f aca="false">G88+G89</f>
        <v>143</v>
      </c>
      <c r="H90" s="102" t="n">
        <f aca="false">H88+H89</f>
        <v>191.527023263889</v>
      </c>
      <c r="I90" s="102" t="n">
        <f aca="false">I88+I89</f>
        <v>-24.8000000000002</v>
      </c>
      <c r="J90" s="102" t="n">
        <f aca="false">J88+J89</f>
        <v>127.3</v>
      </c>
      <c r="K90" s="102" t="n">
        <f aca="false">K88+K89</f>
        <v>-8.69999999999999</v>
      </c>
      <c r="L90" s="102" t="n">
        <f aca="false">L88+L89</f>
        <v>124.882464461603</v>
      </c>
      <c r="M90" s="102" t="n">
        <f aca="false">M88+M89</f>
        <v>-727</v>
      </c>
      <c r="N90" s="102" t="n">
        <f aca="false">N88+N89</f>
        <v>353.5</v>
      </c>
      <c r="O90" s="102" t="n">
        <f aca="false">O88+O89</f>
        <v>256</v>
      </c>
    </row>
    <row r="91" customFormat="false" ht="12" hidden="false" customHeight="true" outlineLevel="0" collapsed="false">
      <c r="B91" s="101" t="s">
        <v>109</v>
      </c>
      <c r="C91" s="102" t="n">
        <f aca="false">Assumptions!$B$13</f>
        <v>620</v>
      </c>
      <c r="D91" s="102" t="n">
        <f aca="false">C94</f>
        <v>250</v>
      </c>
      <c r="E91" s="102" t="n">
        <f aca="false">D94</f>
        <v>250</v>
      </c>
      <c r="F91" s="102" t="n">
        <f aca="false">E94</f>
        <v>250</v>
      </c>
      <c r="G91" s="102" t="n">
        <f aca="false">F94</f>
        <v>250</v>
      </c>
      <c r="H91" s="102" t="n">
        <f aca="false">G94</f>
        <v>250</v>
      </c>
      <c r="I91" s="102" t="n">
        <f aca="false">H94</f>
        <v>250</v>
      </c>
      <c r="J91" s="102" t="n">
        <f aca="false">I94</f>
        <v>250</v>
      </c>
      <c r="K91" s="102" t="n">
        <f aca="false">J94</f>
        <v>250</v>
      </c>
      <c r="L91" s="102" t="n">
        <f aca="false">K94</f>
        <v>250</v>
      </c>
      <c r="M91" s="102" t="n">
        <f aca="false">L94</f>
        <v>250</v>
      </c>
      <c r="N91" s="102" t="n">
        <f aca="false">M94</f>
        <v>250</v>
      </c>
      <c r="O91" s="102" t="n">
        <f aca="false">N94</f>
        <v>250</v>
      </c>
    </row>
    <row r="92" customFormat="false" ht="12" hidden="false" customHeight="true" outlineLevel="0" collapsed="false">
      <c r="B92" s="101" t="s">
        <v>542</v>
      </c>
      <c r="C92" s="102" t="n">
        <f aca="false">Assumptions!$B$15</f>
        <v>3450</v>
      </c>
      <c r="D92" s="102" t="n">
        <f aca="false">C92+C93</f>
        <v>3146.42916666667</v>
      </c>
      <c r="E92" s="102" t="n">
        <f aca="false">D92+D93</f>
        <v>3415.62916666667</v>
      </c>
      <c r="F92" s="102" t="n">
        <f aca="false">E92+E93</f>
        <v>3759.62916666667</v>
      </c>
      <c r="G92" s="102" t="n">
        <f aca="false">F92+F93</f>
        <v>3676.32916666667</v>
      </c>
      <c r="H92" s="102" t="n">
        <f aca="false">G92+G93</f>
        <v>3533.32916666667</v>
      </c>
      <c r="I92" s="102" t="n">
        <f aca="false">H92+H93</f>
        <v>3341.80214340278</v>
      </c>
      <c r="J92" s="102" t="n">
        <f aca="false">I92+I93</f>
        <v>3366.60214340278</v>
      </c>
      <c r="K92" s="102" t="n">
        <f aca="false">J92+J93</f>
        <v>3239.30214340278</v>
      </c>
      <c r="L92" s="102" t="n">
        <f aca="false">K92+K93</f>
        <v>3248.00214340278</v>
      </c>
      <c r="M92" s="102" t="n">
        <f aca="false">L92+L93</f>
        <v>3123.11967894117</v>
      </c>
      <c r="N92" s="102" t="n">
        <f aca="false">M92+M93</f>
        <v>3850.11967894117</v>
      </c>
      <c r="O92" s="102" t="n">
        <f aca="false">N92+N93</f>
        <v>3496.61967894117</v>
      </c>
    </row>
    <row r="93" customFormat="false" ht="12" hidden="false" customHeight="true" outlineLevel="0" collapsed="false">
      <c r="B93" s="101" t="s">
        <v>543</v>
      </c>
      <c r="C93" s="102" t="n">
        <f aca="false">MAX(0,MIN(Assumptions!$B$14-C92,Assumptions!$B$17-(C91+C90)))-MIN(C92,MAX(0,(C91+C90)-Assumptions!$B$17))</f>
        <v>-303.570833333333</v>
      </c>
      <c r="D93" s="102" t="n">
        <f aca="false">MAX(0,MIN(Assumptions!$B$14-D92,Assumptions!$B$17-(D91+D90)))-MIN(D92,MAX(0,(D91+D90)-Assumptions!$B$17))</f>
        <v>269.2</v>
      </c>
      <c r="E93" s="102" t="n">
        <f aca="false">MAX(0,MIN(Assumptions!$B$14-E92,Assumptions!$B$17-(E91+E90)))-MIN(E92,MAX(0,(E91+E90)-Assumptions!$B$17))</f>
        <v>344</v>
      </c>
      <c r="F93" s="102" t="n">
        <f aca="false">MAX(0,MIN(Assumptions!$B$14-F92,Assumptions!$B$17-(F91+F90)))-MIN(F92,MAX(0,(F91+F90)-Assumptions!$B$17))</f>
        <v>-83.3</v>
      </c>
      <c r="G93" s="102" t="n">
        <f aca="false">MAX(0,MIN(Assumptions!$B$14-G92,Assumptions!$B$17-(G91+G90)))-MIN(G92,MAX(0,(G91+G90)-Assumptions!$B$17))</f>
        <v>-143</v>
      </c>
      <c r="H93" s="102" t="n">
        <f aca="false">MAX(0,MIN(Assumptions!$B$14-H92,Assumptions!$B$17-(H91+H90)))-MIN(H92,MAX(0,(H91+H90)-Assumptions!$B$17))</f>
        <v>-191.527023263889</v>
      </c>
      <c r="I93" s="102" t="n">
        <f aca="false">MAX(0,MIN(Assumptions!$B$14-I92,Assumptions!$B$17-(I91+I90)))-MIN(I92,MAX(0,(I91+I90)-Assumptions!$B$17))</f>
        <v>24.8000000000002</v>
      </c>
      <c r="J93" s="102" t="n">
        <f aca="false">MAX(0,MIN(Assumptions!$B$14-J92,Assumptions!$B$17-(J91+J90)))-MIN(J92,MAX(0,(J91+J90)-Assumptions!$B$17))</f>
        <v>-127.3</v>
      </c>
      <c r="K93" s="102" t="n">
        <f aca="false">MAX(0,MIN(Assumptions!$B$14-K92,Assumptions!$B$17-(K91+K90)))-MIN(K92,MAX(0,(K91+K90)-Assumptions!$B$17))</f>
        <v>8.69999999999999</v>
      </c>
      <c r="L93" s="102" t="n">
        <f aca="false">MAX(0,MIN(Assumptions!$B$14-L92,Assumptions!$B$17-(L91+L90)))-MIN(L92,MAX(0,(L91+L90)-Assumptions!$B$17))</f>
        <v>-124.882464461603</v>
      </c>
      <c r="M93" s="102" t="n">
        <f aca="false">MAX(0,MIN(Assumptions!$B$14-M92,Assumptions!$B$17-(M91+M90)))-MIN(M92,MAX(0,(M91+M90)-Assumptions!$B$17))</f>
        <v>727</v>
      </c>
      <c r="N93" s="102" t="n">
        <f aca="false">MAX(0,MIN(Assumptions!$B$14-N92,Assumptions!$B$17-(N91+N90)))-MIN(N92,MAX(0,(N91+N90)-Assumptions!$B$17))</f>
        <v>-353.5</v>
      </c>
      <c r="O93" s="102" t="n">
        <f aca="false">MAX(0,MIN(Assumptions!$B$14-O92,Assumptions!$B$17-(O91+O90)))-MIN(O92,MAX(0,(O91+O90)-Assumptions!$B$17))</f>
        <v>-256</v>
      </c>
    </row>
    <row r="94" customFormat="false" ht="12" hidden="false" customHeight="true" outlineLevel="0" collapsed="false">
      <c r="B94" s="101" t="s">
        <v>137</v>
      </c>
      <c r="C94" s="102" t="n">
        <f aca="false">C91+C90+C93</f>
        <v>250</v>
      </c>
      <c r="D94" s="102" t="n">
        <f aca="false">D91+D90+D93</f>
        <v>250</v>
      </c>
      <c r="E94" s="102" t="n">
        <f aca="false">E91+E90+E93</f>
        <v>250</v>
      </c>
      <c r="F94" s="102" t="n">
        <f aca="false">F91+F90+F93</f>
        <v>250</v>
      </c>
      <c r="G94" s="102" t="n">
        <f aca="false">G91+G90+G93</f>
        <v>250</v>
      </c>
      <c r="H94" s="102" t="n">
        <f aca="false">H91+H90+H93</f>
        <v>250</v>
      </c>
      <c r="I94" s="102" t="n">
        <f aca="false">I91+I90+I93</f>
        <v>250</v>
      </c>
      <c r="J94" s="102" t="n">
        <f aca="false">J91+J90+J93</f>
        <v>250</v>
      </c>
      <c r="K94" s="102" t="n">
        <f aca="false">K91+K90+K93</f>
        <v>250</v>
      </c>
      <c r="L94" s="102" t="n">
        <f aca="false">L91+L90+L93</f>
        <v>250</v>
      </c>
      <c r="M94" s="102" t="n">
        <f aca="false">M91+M90+M93</f>
        <v>250</v>
      </c>
      <c r="N94" s="102" t="n">
        <f aca="false">N91+N90+N93</f>
        <v>250</v>
      </c>
      <c r="O94" s="102" t="n">
        <f aca="false">O91+O90+O93</f>
        <v>250</v>
      </c>
    </row>
    <row r="95" customFormat="false" ht="12" hidden="false" customHeight="true" outlineLevel="0" collapsed="false">
      <c r="B95" s="101" t="s">
        <v>544</v>
      </c>
      <c r="C95" s="102" t="n">
        <f aca="false">Assumptions!$B$14-(C92+C93)</f>
        <v>853.570833333333</v>
      </c>
      <c r="D95" s="102" t="n">
        <f aca="false">Assumptions!$B$14-(D92+D93)</f>
        <v>584.370833333333</v>
      </c>
      <c r="E95" s="102" t="n">
        <f aca="false">Assumptions!$B$14-(E92+E93)</f>
        <v>240.370833333333</v>
      </c>
      <c r="F95" s="102" t="n">
        <f aca="false">Assumptions!$B$14-(F92+F93)</f>
        <v>323.670833333334</v>
      </c>
      <c r="G95" s="102" t="n">
        <f aca="false">Assumptions!$B$14-(G92+G93)</f>
        <v>466.670833333334</v>
      </c>
      <c r="H95" s="102" t="n">
        <f aca="false">Assumptions!$B$14-(H92+H93)</f>
        <v>658.197856597223</v>
      </c>
      <c r="I95" s="102" t="n">
        <f aca="false">Assumptions!$B$14-(I92+I93)</f>
        <v>633.397856597223</v>
      </c>
      <c r="J95" s="102" t="n">
        <f aca="false">Assumptions!$B$14-(J92+J93)</f>
        <v>760.697856597222</v>
      </c>
      <c r="K95" s="102" t="n">
        <f aca="false">Assumptions!$B$14-(K92+K93)</f>
        <v>751.997856597222</v>
      </c>
      <c r="L95" s="102" t="n">
        <f aca="false">Assumptions!$B$14-(L92+L93)</f>
        <v>876.880321058825</v>
      </c>
      <c r="M95" s="102" t="n">
        <f aca="false">Assumptions!$B$14-(M92+M93)</f>
        <v>149.880321058825</v>
      </c>
      <c r="N95" s="102" t="n">
        <f aca="false">Assumptions!$B$14-(N92+N93)</f>
        <v>503.380321058825</v>
      </c>
      <c r="O95" s="102" t="n">
        <f aca="false">Assumptions!$B$14-(O92+O93)</f>
        <v>759.380321058825</v>
      </c>
    </row>
    <row r="96" customFormat="false" ht="12" hidden="false" customHeight="true" outlineLevel="0" collapsed="false">
      <c r="B96" s="103" t="s">
        <v>545</v>
      </c>
      <c r="C96" s="104" t="n">
        <f aca="false">C94+C95</f>
        <v>1103.57083333333</v>
      </c>
      <c r="D96" s="104" t="n">
        <f aca="false">D94+D95</f>
        <v>834.370833333333</v>
      </c>
      <c r="E96" s="104" t="n">
        <f aca="false">E94+E95</f>
        <v>490.370833333333</v>
      </c>
      <c r="F96" s="104" t="n">
        <f aca="false">F94+F95</f>
        <v>573.670833333334</v>
      </c>
      <c r="G96" s="104" t="n">
        <f aca="false">G94+G95</f>
        <v>716.670833333334</v>
      </c>
      <c r="H96" s="104" t="n">
        <f aca="false">H94+H95</f>
        <v>908.197856597223</v>
      </c>
      <c r="I96" s="104" t="n">
        <f aca="false">I94+I95</f>
        <v>883.397856597223</v>
      </c>
      <c r="J96" s="104" t="n">
        <f aca="false">J94+J95</f>
        <v>1010.69785659722</v>
      </c>
      <c r="K96" s="104" t="n">
        <f aca="false">K94+K95</f>
        <v>1001.99785659722</v>
      </c>
      <c r="L96" s="104" t="n">
        <f aca="false">L94+L95</f>
        <v>1126.88032105883</v>
      </c>
      <c r="M96" s="104" t="n">
        <f aca="false">M94+M95</f>
        <v>399.880321058825</v>
      </c>
      <c r="N96" s="104" t="n">
        <f aca="false">N94+N95</f>
        <v>753.380321058825</v>
      </c>
      <c r="O96" s="104" t="n">
        <f aca="false">O94+O95</f>
        <v>1009.38032105883</v>
      </c>
    </row>
    <row r="98" customFormat="false" ht="13.5" hidden="false" customHeight="true" outlineLevel="0" collapsed="false">
      <c r="A98" s="97" t="s">
        <v>549</v>
      </c>
      <c r="B98" s="97"/>
      <c r="C98" s="97"/>
      <c r="D98" s="97"/>
      <c r="E98" s="97"/>
      <c r="F98" s="97"/>
      <c r="G98" s="97"/>
    </row>
    <row r="99" customFormat="false" ht="15" hidden="false" customHeight="false" outlineLevel="0" collapsed="false">
      <c r="A99" s="98"/>
      <c r="B99" s="99" t="s">
        <v>103</v>
      </c>
      <c r="C99" s="100" t="n">
        <v>1</v>
      </c>
      <c r="D99" s="100" t="n">
        <v>2</v>
      </c>
      <c r="E99" s="100" t="n">
        <v>3</v>
      </c>
      <c r="F99" s="100" t="n">
        <v>4</v>
      </c>
      <c r="G99" s="100" t="n">
        <v>5</v>
      </c>
      <c r="H99" s="100" t="n">
        <v>6</v>
      </c>
      <c r="I99" s="100" t="n">
        <v>7</v>
      </c>
      <c r="J99" s="100" t="n">
        <v>8</v>
      </c>
      <c r="K99" s="100" t="n">
        <v>9</v>
      </c>
      <c r="L99" s="100" t="n">
        <v>10</v>
      </c>
      <c r="M99" s="100" t="n">
        <v>11</v>
      </c>
      <c r="N99" s="100" t="n">
        <v>12</v>
      </c>
      <c r="O99" s="100" t="n">
        <v>13</v>
      </c>
    </row>
    <row r="100" customFormat="false" ht="12" hidden="false" customHeight="true" outlineLevel="0" collapsed="false">
      <c r="B100" s="101" t="s">
        <v>539</v>
      </c>
      <c r="C100" s="102" t="n">
        <f aca="false">SUMIFS('Receipts Build'!$O$34:$O$98,'Receipts Build'!$Q$34:$Q$98,"Trade",'Receipts Build'!$N$34:$N$98,"&gt;="&amp;'Weekly Cash Flow'!B$5-15,'Receipts Build'!$N$34:$N$98,"&lt;="&amp;'Weekly Cash Flow'!B$6-15)+SUMIFS('Receipts Build'!$O$103:$O$207,'Receipts Build'!$Q$103:$Q$207,"Trade",'Receipts Build'!$N$103:$N$207,"&gt;="&amp;'Weekly Cash Flow'!B$5-15,'Receipts Build'!$N$103:$N$207,"&lt;="&amp;'Weekly Cash Flow'!B$6-15)</f>
        <v>0</v>
      </c>
      <c r="D100" s="102" t="n">
        <f aca="false">SUMIFS('Receipts Build'!$O$34:$O$98,'Receipts Build'!$Q$34:$Q$98,"Trade",'Receipts Build'!$N$34:$N$98,"&gt;="&amp;'Weekly Cash Flow'!C$5-15,'Receipts Build'!$N$34:$N$98,"&lt;="&amp;'Weekly Cash Flow'!C$6-15)+SUMIFS('Receipts Build'!$O$103:$O$207,'Receipts Build'!$Q$103:$Q$207,"Trade",'Receipts Build'!$N$103:$N$207,"&gt;="&amp;'Weekly Cash Flow'!C$5-15,'Receipts Build'!$N$103:$N$207,"&lt;="&amp;'Weekly Cash Flow'!C$6-15)</f>
        <v>0</v>
      </c>
      <c r="E100" s="102" t="n">
        <f aca="false">SUMIFS('Receipts Build'!$O$34:$O$98,'Receipts Build'!$Q$34:$Q$98,"Trade",'Receipts Build'!$N$34:$N$98,"&gt;="&amp;'Weekly Cash Flow'!D$5-15,'Receipts Build'!$N$34:$N$98,"&lt;="&amp;'Weekly Cash Flow'!D$6-15)+SUMIFS('Receipts Build'!$O$103:$O$207,'Receipts Build'!$Q$103:$Q$207,"Trade",'Receipts Build'!$N$103:$N$207,"&gt;="&amp;'Weekly Cash Flow'!D$5-15,'Receipts Build'!$N$103:$N$207,"&lt;="&amp;'Weekly Cash Flow'!D$6-15)</f>
        <v>240.8</v>
      </c>
      <c r="F100" s="102" t="n">
        <f aca="false">SUMIFS('Receipts Build'!$O$34:$O$98,'Receipts Build'!$Q$34:$Q$98,"Trade",'Receipts Build'!$N$34:$N$98,"&gt;="&amp;'Weekly Cash Flow'!E$5-15,'Receipts Build'!$N$34:$N$98,"&lt;="&amp;'Weekly Cash Flow'!E$6-15)+SUMIFS('Receipts Build'!$O$103:$O$207,'Receipts Build'!$Q$103:$Q$207,"Trade",'Receipts Build'!$N$103:$N$207,"&gt;="&amp;'Weekly Cash Flow'!E$5-15,'Receipts Build'!$N$103:$N$207,"&lt;="&amp;'Weekly Cash Flow'!E$6-15)</f>
        <v>689.4</v>
      </c>
      <c r="G100" s="102" t="n">
        <f aca="false">SUMIFS('Receipts Build'!$O$34:$O$98,'Receipts Build'!$Q$34:$Q$98,"Trade",'Receipts Build'!$N$34:$N$98,"&gt;="&amp;'Weekly Cash Flow'!F$5-15,'Receipts Build'!$N$34:$N$98,"&lt;="&amp;'Weekly Cash Flow'!F$6-15)+SUMIFS('Receipts Build'!$O$103:$O$207,'Receipts Build'!$Q$103:$Q$207,"Trade",'Receipts Build'!$N$103:$N$207,"&gt;="&amp;'Weekly Cash Flow'!F$5-15,'Receipts Build'!$N$103:$N$207,"&lt;="&amp;'Weekly Cash Flow'!F$6-15)</f>
        <v>656.5</v>
      </c>
      <c r="H100" s="102" t="n">
        <f aca="false">SUMIFS('Receipts Build'!$O$34:$O$98,'Receipts Build'!$Q$34:$Q$98,"Trade",'Receipts Build'!$N$34:$N$98,"&gt;="&amp;'Weekly Cash Flow'!G$5-15,'Receipts Build'!$N$34:$N$98,"&lt;="&amp;'Weekly Cash Flow'!G$6-15)+SUMIFS('Receipts Build'!$O$103:$O$207,'Receipts Build'!$Q$103:$Q$207,"Trade",'Receipts Build'!$N$103:$N$207,"&gt;="&amp;'Weekly Cash Flow'!G$5-15,'Receipts Build'!$N$103:$N$207,"&lt;="&amp;'Weekly Cash Flow'!G$6-15)</f>
        <v>710.2</v>
      </c>
      <c r="I100" s="102" t="n">
        <f aca="false">SUMIFS('Receipts Build'!$O$34:$O$98,'Receipts Build'!$Q$34:$Q$98,"Trade",'Receipts Build'!$N$34:$N$98,"&gt;="&amp;'Weekly Cash Flow'!H$5-15,'Receipts Build'!$N$34:$N$98,"&lt;="&amp;'Weekly Cash Flow'!H$6-15)+SUMIFS('Receipts Build'!$O$103:$O$207,'Receipts Build'!$Q$103:$Q$207,"Trade",'Receipts Build'!$N$103:$N$207,"&gt;="&amp;'Weekly Cash Flow'!H$5-15,'Receipts Build'!$N$103:$N$207,"&lt;="&amp;'Weekly Cash Flow'!H$6-15)</f>
        <v>664.1</v>
      </c>
      <c r="J100" s="102" t="n">
        <f aca="false">SUMIFS('Receipts Build'!$O$34:$O$98,'Receipts Build'!$Q$34:$Q$98,"Trade",'Receipts Build'!$N$34:$N$98,"&gt;="&amp;'Weekly Cash Flow'!I$5-15,'Receipts Build'!$N$34:$N$98,"&lt;="&amp;'Weekly Cash Flow'!I$6-15)+SUMIFS('Receipts Build'!$O$103:$O$207,'Receipts Build'!$Q$103:$Q$207,"Trade",'Receipts Build'!$N$103:$N$207,"&gt;="&amp;'Weekly Cash Flow'!I$5-15,'Receipts Build'!$N$103:$N$207,"&lt;="&amp;'Weekly Cash Flow'!I$6-15)</f>
        <v>683.1</v>
      </c>
      <c r="K100" s="102" t="n">
        <f aca="false">SUMIFS('Receipts Build'!$O$34:$O$98,'Receipts Build'!$Q$34:$Q$98,"Trade",'Receipts Build'!$N$34:$N$98,"&gt;="&amp;'Weekly Cash Flow'!J$5-15,'Receipts Build'!$N$34:$N$98,"&lt;="&amp;'Weekly Cash Flow'!J$6-15)+SUMIFS('Receipts Build'!$O$103:$O$207,'Receipts Build'!$Q$103:$Q$207,"Trade",'Receipts Build'!$N$103:$N$207,"&gt;="&amp;'Weekly Cash Flow'!J$5-15,'Receipts Build'!$N$103:$N$207,"&lt;="&amp;'Weekly Cash Flow'!J$6-15)</f>
        <v>652.6</v>
      </c>
      <c r="L100" s="102" t="n">
        <f aca="false">SUMIFS('Receipts Build'!$O$34:$O$98,'Receipts Build'!$Q$34:$Q$98,"Trade",'Receipts Build'!$N$34:$N$98,"&gt;="&amp;'Weekly Cash Flow'!K$5-15,'Receipts Build'!$N$34:$N$98,"&lt;="&amp;'Weekly Cash Flow'!K$6-15)+SUMIFS('Receipts Build'!$O$103:$O$207,'Receipts Build'!$Q$103:$Q$207,"Trade",'Receipts Build'!$N$103:$N$207,"&gt;="&amp;'Weekly Cash Flow'!K$5-15,'Receipts Build'!$N$103:$N$207,"&lt;="&amp;'Weekly Cash Flow'!K$6-15)</f>
        <v>425</v>
      </c>
      <c r="M100" s="102" t="n">
        <f aca="false">SUMIFS('Receipts Build'!$O$34:$O$98,'Receipts Build'!$Q$34:$Q$98,"Trade",'Receipts Build'!$N$34:$N$98,"&gt;="&amp;'Weekly Cash Flow'!L$5-15,'Receipts Build'!$N$34:$N$98,"&lt;="&amp;'Weekly Cash Flow'!L$6-15)+SUMIFS('Receipts Build'!$O$103:$O$207,'Receipts Build'!$Q$103:$Q$207,"Trade",'Receipts Build'!$N$103:$N$207,"&gt;="&amp;'Weekly Cash Flow'!L$5-15,'Receipts Build'!$N$103:$N$207,"&lt;="&amp;'Weekly Cash Flow'!L$6-15)</f>
        <v>575.1</v>
      </c>
      <c r="N100" s="102" t="n">
        <f aca="false">SUMIFS('Receipts Build'!$O$34:$O$98,'Receipts Build'!$Q$34:$Q$98,"Trade",'Receipts Build'!$N$34:$N$98,"&gt;="&amp;'Weekly Cash Flow'!M$5-15,'Receipts Build'!$N$34:$N$98,"&lt;="&amp;'Weekly Cash Flow'!M$6-15)+SUMIFS('Receipts Build'!$O$103:$O$207,'Receipts Build'!$Q$103:$Q$207,"Trade",'Receipts Build'!$N$103:$N$207,"&gt;="&amp;'Weekly Cash Flow'!M$5-15,'Receipts Build'!$N$103:$N$207,"&lt;="&amp;'Weekly Cash Flow'!M$6-15)</f>
        <v>372.2</v>
      </c>
      <c r="O100" s="102" t="n">
        <f aca="false">SUMIFS('Receipts Build'!$O$34:$O$98,'Receipts Build'!$Q$34:$Q$98,"Trade",'Receipts Build'!$N$34:$N$98,"&gt;="&amp;'Weekly Cash Flow'!N$5-15,'Receipts Build'!$N$34:$N$98,"&lt;="&amp;'Weekly Cash Flow'!N$6-15)+SUMIFS('Receipts Build'!$O$103:$O$207,'Receipts Build'!$Q$103:$Q$207,"Trade",'Receipts Build'!$N$103:$N$207,"&gt;="&amp;'Weekly Cash Flow'!N$5-15,'Receipts Build'!$N$103:$N$207,"&lt;="&amp;'Weekly Cash Flow'!N$6-15)</f>
        <v>643.9</v>
      </c>
    </row>
    <row r="101" customFormat="false" ht="12" hidden="false" customHeight="true" outlineLevel="0" collapsed="false">
      <c r="B101" s="101" t="s">
        <v>540</v>
      </c>
      <c r="C101" s="102" t="n">
        <f aca="false">SUMIFS('Receipts Build'!$O$34:$O$98,'Receipts Build'!$Q$34:$Q$98,"Fixed",'Receipts Build'!$N$34:$N$98,"&gt;="&amp;'Weekly Cash Flow'!B$5,'Receipts Build'!$N$34:$N$98,"&lt;="&amp;'Weekly Cash Flow'!B$6)+SUMIFS('Receipts Build'!$O$103:$O$207,'Receipts Build'!$Q$103:$Q$207,"Fixed",'Receipts Build'!$N$103:$N$207,"&gt;="&amp;'Weekly Cash Flow'!B$5,'Receipts Build'!$N$103:$N$207,"&lt;="&amp;'Weekly Cash Flow'!B$6)+SUMIFS('Receipts Build'!$O$212:$O$215,'Receipts Build'!$Q$212:$Q$215,"Fixed",'Receipts Build'!$N$212:$N$215,"&gt;="&amp;'Weekly Cash Flow'!B$5,'Receipts Build'!$N$212:$N$215,"&lt;="&amp;'Weekly Cash Flow'!B$6)</f>
        <v>462.3</v>
      </c>
      <c r="D101" s="102" t="n">
        <f aca="false">SUMIFS('Receipts Build'!$O$34:$O$98,'Receipts Build'!$Q$34:$Q$98,"Fixed",'Receipts Build'!$N$34:$N$98,"&gt;="&amp;'Weekly Cash Flow'!C$5,'Receipts Build'!$N$34:$N$98,"&lt;="&amp;'Weekly Cash Flow'!C$6)+SUMIFS('Receipts Build'!$O$103:$O$207,'Receipts Build'!$Q$103:$Q$207,"Fixed",'Receipts Build'!$N$103:$N$207,"&gt;="&amp;'Weekly Cash Flow'!C$5,'Receipts Build'!$N$103:$N$207,"&lt;="&amp;'Weekly Cash Flow'!C$6)+SUMIFS('Receipts Build'!$O$212:$O$215,'Receipts Build'!$Q$212:$Q$215,"Fixed",'Receipts Build'!$N$212:$N$215,"&gt;="&amp;'Weekly Cash Flow'!C$5,'Receipts Build'!$N$212:$N$215,"&lt;="&amp;'Weekly Cash Flow'!C$6)</f>
        <v>0</v>
      </c>
      <c r="E101" s="102" t="n">
        <f aca="false">SUMIFS('Receipts Build'!$O$34:$O$98,'Receipts Build'!$Q$34:$Q$98,"Fixed",'Receipts Build'!$N$34:$N$98,"&gt;="&amp;'Weekly Cash Flow'!D$5,'Receipts Build'!$N$34:$N$98,"&lt;="&amp;'Weekly Cash Flow'!D$6)+SUMIFS('Receipts Build'!$O$103:$O$207,'Receipts Build'!$Q$103:$Q$207,"Fixed",'Receipts Build'!$N$103:$N$207,"&gt;="&amp;'Weekly Cash Flow'!D$5,'Receipts Build'!$N$103:$N$207,"&lt;="&amp;'Weekly Cash Flow'!D$6)+SUMIFS('Receipts Build'!$O$212:$O$215,'Receipts Build'!$Q$212:$Q$215,"Fixed",'Receipts Build'!$N$212:$N$215,"&gt;="&amp;'Weekly Cash Flow'!D$5,'Receipts Build'!$N$212:$N$215,"&lt;="&amp;'Weekly Cash Flow'!D$6)</f>
        <v>28</v>
      </c>
      <c r="F101" s="102" t="n">
        <f aca="false">SUMIFS('Receipts Build'!$O$34:$O$98,'Receipts Build'!$Q$34:$Q$98,"Fixed",'Receipts Build'!$N$34:$N$98,"&gt;="&amp;'Weekly Cash Flow'!E$5,'Receipts Build'!$N$34:$N$98,"&lt;="&amp;'Weekly Cash Flow'!E$6)+SUMIFS('Receipts Build'!$O$103:$O$207,'Receipts Build'!$Q$103:$Q$207,"Fixed",'Receipts Build'!$N$103:$N$207,"&gt;="&amp;'Weekly Cash Flow'!E$5,'Receipts Build'!$N$103:$N$207,"&lt;="&amp;'Weekly Cash Flow'!E$6)+SUMIFS('Receipts Build'!$O$212:$O$215,'Receipts Build'!$Q$212:$Q$215,"Fixed",'Receipts Build'!$N$212:$N$215,"&gt;="&amp;'Weekly Cash Flow'!E$5,'Receipts Build'!$N$212:$N$215,"&lt;="&amp;'Weekly Cash Flow'!E$6)</f>
        <v>169.3</v>
      </c>
      <c r="G101" s="102" t="n">
        <f aca="false">SUMIFS('Receipts Build'!$O$34:$O$98,'Receipts Build'!$Q$34:$Q$98,"Fixed",'Receipts Build'!$N$34:$N$98,"&gt;="&amp;'Weekly Cash Flow'!F$5,'Receipts Build'!$N$34:$N$98,"&lt;="&amp;'Weekly Cash Flow'!F$6)+SUMIFS('Receipts Build'!$O$103:$O$207,'Receipts Build'!$Q$103:$Q$207,"Fixed",'Receipts Build'!$N$103:$N$207,"&gt;="&amp;'Weekly Cash Flow'!F$5,'Receipts Build'!$N$103:$N$207,"&lt;="&amp;'Weekly Cash Flow'!F$6)+SUMIFS('Receipts Build'!$O$212:$O$215,'Receipts Build'!$Q$212:$Q$215,"Fixed",'Receipts Build'!$N$212:$N$215,"&gt;="&amp;'Weekly Cash Flow'!F$5,'Receipts Build'!$N$212:$N$215,"&lt;="&amp;'Weekly Cash Flow'!F$6)</f>
        <v>0</v>
      </c>
      <c r="H101" s="102" t="n">
        <f aca="false">SUMIFS('Receipts Build'!$O$34:$O$98,'Receipts Build'!$Q$34:$Q$98,"Fixed",'Receipts Build'!$N$34:$N$98,"&gt;="&amp;'Weekly Cash Flow'!G$5,'Receipts Build'!$N$34:$N$98,"&lt;="&amp;'Weekly Cash Flow'!G$6)+SUMIFS('Receipts Build'!$O$103:$O$207,'Receipts Build'!$Q$103:$Q$207,"Fixed",'Receipts Build'!$N$103:$N$207,"&gt;="&amp;'Weekly Cash Flow'!G$5,'Receipts Build'!$N$103:$N$207,"&lt;="&amp;'Weekly Cash Flow'!G$6)+SUMIFS('Receipts Build'!$O$212:$O$215,'Receipts Build'!$Q$212:$Q$215,"Fixed",'Receipts Build'!$N$212:$N$215,"&gt;="&amp;'Weekly Cash Flow'!G$5,'Receipts Build'!$N$212:$N$215,"&lt;="&amp;'Weekly Cash Flow'!G$6)</f>
        <v>0</v>
      </c>
      <c r="I101" s="102" t="n">
        <f aca="false">SUMIFS('Receipts Build'!$O$34:$O$98,'Receipts Build'!$Q$34:$Q$98,"Fixed",'Receipts Build'!$N$34:$N$98,"&gt;="&amp;'Weekly Cash Flow'!H$5,'Receipts Build'!$N$34:$N$98,"&lt;="&amp;'Weekly Cash Flow'!H$6)+SUMIFS('Receipts Build'!$O$103:$O$207,'Receipts Build'!$Q$103:$Q$207,"Fixed",'Receipts Build'!$N$103:$N$207,"&gt;="&amp;'Weekly Cash Flow'!H$5,'Receipts Build'!$N$103:$N$207,"&lt;="&amp;'Weekly Cash Flow'!H$6)+SUMIFS('Receipts Build'!$O$212:$O$215,'Receipts Build'!$Q$212:$Q$215,"Fixed",'Receipts Build'!$N$212:$N$215,"&gt;="&amp;'Weekly Cash Flow'!H$5,'Receipts Build'!$N$212:$N$215,"&lt;="&amp;'Weekly Cash Flow'!H$6)</f>
        <v>0</v>
      </c>
      <c r="J101" s="102" t="n">
        <f aca="false">SUMIFS('Receipts Build'!$O$34:$O$98,'Receipts Build'!$Q$34:$Q$98,"Fixed",'Receipts Build'!$N$34:$N$98,"&gt;="&amp;'Weekly Cash Flow'!I$5,'Receipts Build'!$N$34:$N$98,"&lt;="&amp;'Weekly Cash Flow'!I$6)+SUMIFS('Receipts Build'!$O$103:$O$207,'Receipts Build'!$Q$103:$Q$207,"Fixed",'Receipts Build'!$N$103:$N$207,"&gt;="&amp;'Weekly Cash Flow'!I$5,'Receipts Build'!$N$103:$N$207,"&lt;="&amp;'Weekly Cash Flow'!I$6)+SUMIFS('Receipts Build'!$O$212:$O$215,'Receipts Build'!$Q$212:$Q$215,"Fixed",'Receipts Build'!$N$212:$N$215,"&gt;="&amp;'Weekly Cash Flow'!I$5,'Receipts Build'!$N$212:$N$215,"&lt;="&amp;'Weekly Cash Flow'!I$6)</f>
        <v>172.3</v>
      </c>
      <c r="K101" s="102" t="n">
        <f aca="false">SUMIFS('Receipts Build'!$O$34:$O$98,'Receipts Build'!$Q$34:$Q$98,"Fixed",'Receipts Build'!$N$34:$N$98,"&gt;="&amp;'Weekly Cash Flow'!J$5,'Receipts Build'!$N$34:$N$98,"&lt;="&amp;'Weekly Cash Flow'!J$6)+SUMIFS('Receipts Build'!$O$103:$O$207,'Receipts Build'!$Q$103:$Q$207,"Fixed",'Receipts Build'!$N$103:$N$207,"&gt;="&amp;'Weekly Cash Flow'!J$5,'Receipts Build'!$N$103:$N$207,"&lt;="&amp;'Weekly Cash Flow'!J$6)+SUMIFS('Receipts Build'!$O$212:$O$215,'Receipts Build'!$Q$212:$Q$215,"Fixed",'Receipts Build'!$N$212:$N$215,"&gt;="&amp;'Weekly Cash Flow'!J$5,'Receipts Build'!$N$212:$N$215,"&lt;="&amp;'Weekly Cash Flow'!J$6)</f>
        <v>0</v>
      </c>
      <c r="L101" s="102" t="n">
        <f aca="false">SUMIFS('Receipts Build'!$O$34:$O$98,'Receipts Build'!$Q$34:$Q$98,"Fixed",'Receipts Build'!$N$34:$N$98,"&gt;="&amp;'Weekly Cash Flow'!K$5,'Receipts Build'!$N$34:$N$98,"&lt;="&amp;'Weekly Cash Flow'!K$6)+SUMIFS('Receipts Build'!$O$103:$O$207,'Receipts Build'!$Q$103:$Q$207,"Fixed",'Receipts Build'!$N$103:$N$207,"&gt;="&amp;'Weekly Cash Flow'!K$5,'Receipts Build'!$N$103:$N$207,"&lt;="&amp;'Weekly Cash Flow'!K$6)+SUMIFS('Receipts Build'!$O$212:$O$215,'Receipts Build'!$Q$212:$Q$215,"Fixed",'Receipts Build'!$N$212:$N$215,"&gt;="&amp;'Weekly Cash Flow'!K$5,'Receipts Build'!$N$212:$N$215,"&lt;="&amp;'Weekly Cash Flow'!K$6)</f>
        <v>0</v>
      </c>
      <c r="M101" s="102" t="n">
        <f aca="false">SUMIFS('Receipts Build'!$O$34:$O$98,'Receipts Build'!$Q$34:$Q$98,"Fixed",'Receipts Build'!$N$34:$N$98,"&gt;="&amp;'Weekly Cash Flow'!L$5,'Receipts Build'!$N$34:$N$98,"&lt;="&amp;'Weekly Cash Flow'!L$6)+SUMIFS('Receipts Build'!$O$103:$O$207,'Receipts Build'!$Q$103:$Q$207,"Fixed",'Receipts Build'!$N$103:$N$207,"&gt;="&amp;'Weekly Cash Flow'!L$5,'Receipts Build'!$N$103:$N$207,"&lt;="&amp;'Weekly Cash Flow'!L$6)+SUMIFS('Receipts Build'!$O$212:$O$215,'Receipts Build'!$Q$212:$Q$215,"Fixed",'Receipts Build'!$N$212:$N$215,"&gt;="&amp;'Weekly Cash Flow'!L$5,'Receipts Build'!$N$212:$N$215,"&lt;="&amp;'Weekly Cash Flow'!L$6)</f>
        <v>0</v>
      </c>
      <c r="N101" s="102" t="n">
        <f aca="false">SUMIFS('Receipts Build'!$O$34:$O$98,'Receipts Build'!$Q$34:$Q$98,"Fixed",'Receipts Build'!$N$34:$N$98,"&gt;="&amp;'Weekly Cash Flow'!M$5,'Receipts Build'!$N$34:$N$98,"&lt;="&amp;'Weekly Cash Flow'!M$6)+SUMIFS('Receipts Build'!$O$103:$O$207,'Receipts Build'!$Q$103:$Q$207,"Fixed",'Receipts Build'!$N$103:$N$207,"&gt;="&amp;'Weekly Cash Flow'!M$5,'Receipts Build'!$N$103:$N$207,"&lt;="&amp;'Weekly Cash Flow'!M$6)+SUMIFS('Receipts Build'!$O$212:$O$215,'Receipts Build'!$Q$212:$Q$215,"Fixed",'Receipts Build'!$N$212:$N$215,"&gt;="&amp;'Weekly Cash Flow'!M$5,'Receipts Build'!$N$212:$N$215,"&lt;="&amp;'Weekly Cash Flow'!M$6)</f>
        <v>689.4</v>
      </c>
      <c r="O101" s="102" t="n">
        <f aca="false">SUMIFS('Receipts Build'!$O$34:$O$98,'Receipts Build'!$Q$34:$Q$98,"Fixed",'Receipts Build'!$N$34:$N$98,"&gt;="&amp;'Weekly Cash Flow'!N$5,'Receipts Build'!$N$34:$N$98,"&lt;="&amp;'Weekly Cash Flow'!N$6)+SUMIFS('Receipts Build'!$O$103:$O$207,'Receipts Build'!$Q$103:$Q$207,"Fixed",'Receipts Build'!$N$103:$N$207,"&gt;="&amp;'Weekly Cash Flow'!N$5,'Receipts Build'!$N$103:$N$207,"&lt;="&amp;'Weekly Cash Flow'!N$6)+SUMIFS('Receipts Build'!$O$212:$O$215,'Receipts Build'!$Q$212:$Q$215,"Fixed",'Receipts Build'!$N$212:$N$215,"&gt;="&amp;'Weekly Cash Flow'!N$5,'Receipts Build'!$N$212:$N$215,"&lt;="&amp;'Weekly Cash Flow'!N$6)</f>
        <v>160.3</v>
      </c>
    </row>
    <row r="102" customFormat="false" ht="12" hidden="false" customHeight="true" outlineLevel="0" collapsed="false">
      <c r="B102" s="101" t="s">
        <v>117</v>
      </c>
      <c r="C102" s="102" t="n">
        <f aca="false">C100+C101</f>
        <v>462.3</v>
      </c>
      <c r="D102" s="102" t="n">
        <f aca="false">D100+D101</f>
        <v>0</v>
      </c>
      <c r="E102" s="102" t="n">
        <f aca="false">E100+E101</f>
        <v>268.8</v>
      </c>
      <c r="F102" s="102" t="n">
        <f aca="false">F100+F101</f>
        <v>858.7</v>
      </c>
      <c r="G102" s="102" t="n">
        <f aca="false">G100+G101</f>
        <v>656.5</v>
      </c>
      <c r="H102" s="102" t="n">
        <f aca="false">H100+H101</f>
        <v>710.2</v>
      </c>
      <c r="I102" s="102" t="n">
        <f aca="false">I100+I101</f>
        <v>664.1</v>
      </c>
      <c r="J102" s="102" t="n">
        <f aca="false">J100+J101</f>
        <v>855.4</v>
      </c>
      <c r="K102" s="102" t="n">
        <f aca="false">K100+K101</f>
        <v>652.6</v>
      </c>
      <c r="L102" s="102" t="n">
        <f aca="false">L100+L101</f>
        <v>425</v>
      </c>
      <c r="M102" s="102" t="n">
        <f aca="false">M100+M101</f>
        <v>575.1</v>
      </c>
      <c r="N102" s="102" t="n">
        <f aca="false">N100+N101</f>
        <v>1061.6</v>
      </c>
      <c r="O102" s="102" t="n">
        <f aca="false">O100+O101</f>
        <v>804.2</v>
      </c>
    </row>
    <row r="103" customFormat="false" ht="12" hidden="false" customHeight="true" outlineLevel="0" collapsed="false">
      <c r="B103" s="101" t="s">
        <v>132</v>
      </c>
      <c r="C103" s="102" t="n">
        <f aca="false">'Weekly Cash Flow'!B$34</f>
        <v>-528.729166666667</v>
      </c>
      <c r="D103" s="102" t="n">
        <f aca="false">'Weekly Cash Flow'!C$34</f>
        <v>-369.5</v>
      </c>
      <c r="E103" s="102" t="n">
        <f aca="false">'Weekly Cash Flow'!D$34</f>
        <v>-1029.5</v>
      </c>
      <c r="F103" s="102" t="n">
        <f aca="false">'Weekly Cash Flow'!E$34</f>
        <v>-745.2</v>
      </c>
      <c r="G103" s="102" t="n">
        <f aca="false">'Weekly Cash Flow'!F$34</f>
        <v>-553.7</v>
      </c>
      <c r="H103" s="102" t="n">
        <f aca="false">'Weekly Cash Flow'!G$34</f>
        <v>-488.672976736111</v>
      </c>
      <c r="I103" s="102" t="n">
        <f aca="false">'Weekly Cash Flow'!H$34</f>
        <v>-702.9</v>
      </c>
      <c r="J103" s="102" t="n">
        <f aca="false">'Weekly Cash Flow'!I$34</f>
        <v>-701.7</v>
      </c>
      <c r="K103" s="102" t="n">
        <f aca="false">'Weekly Cash Flow'!J$34</f>
        <v>-420.5</v>
      </c>
      <c r="L103" s="102" t="n">
        <f aca="false">'Weekly Cash Flow'!K$34</f>
        <v>-476.017535538397</v>
      </c>
      <c r="M103" s="102" t="n">
        <f aca="false">'Weekly Cash Flow'!L$34</f>
        <v>-1103.4</v>
      </c>
      <c r="N103" s="102" t="n">
        <f aca="false">'Weekly Cash Flow'!M$34</f>
        <v>-955.4</v>
      </c>
      <c r="O103" s="102" t="n">
        <f aca="false">'Weekly Cash Flow'!N$34</f>
        <v>-581.9</v>
      </c>
    </row>
    <row r="104" customFormat="false" ht="12" hidden="false" customHeight="true" outlineLevel="0" collapsed="false">
      <c r="B104" s="101" t="s">
        <v>541</v>
      </c>
      <c r="C104" s="102" t="n">
        <f aca="false">C102+C103</f>
        <v>-66.4291666666666</v>
      </c>
      <c r="D104" s="102" t="n">
        <f aca="false">D102+D103</f>
        <v>-369.5</v>
      </c>
      <c r="E104" s="102" t="n">
        <f aca="false">E102+E103</f>
        <v>-760.7</v>
      </c>
      <c r="F104" s="102" t="n">
        <f aca="false">F102+F103</f>
        <v>113.5</v>
      </c>
      <c r="G104" s="102" t="n">
        <f aca="false">G102+G103</f>
        <v>102.8</v>
      </c>
      <c r="H104" s="102" t="n">
        <f aca="false">H102+H103</f>
        <v>221.527023263889</v>
      </c>
      <c r="I104" s="102" t="n">
        <f aca="false">I102+I103</f>
        <v>-38.8000000000001</v>
      </c>
      <c r="J104" s="102" t="n">
        <f aca="false">J102+J103</f>
        <v>153.7</v>
      </c>
      <c r="K104" s="102" t="n">
        <f aca="false">K102+K103</f>
        <v>232.1</v>
      </c>
      <c r="L104" s="102" t="n">
        <f aca="false">L102+L103</f>
        <v>-51.017535538397</v>
      </c>
      <c r="M104" s="102" t="n">
        <f aca="false">M102+M103</f>
        <v>-528.3</v>
      </c>
      <c r="N104" s="102" t="n">
        <f aca="false">N102+N103</f>
        <v>106.2</v>
      </c>
      <c r="O104" s="102" t="n">
        <f aca="false">O102+O103</f>
        <v>222.3</v>
      </c>
    </row>
    <row r="105" customFormat="false" ht="12" hidden="false" customHeight="true" outlineLevel="0" collapsed="false">
      <c r="B105" s="101" t="s">
        <v>109</v>
      </c>
      <c r="C105" s="102" t="n">
        <f aca="false">Assumptions!$B$13</f>
        <v>620</v>
      </c>
      <c r="D105" s="102" t="n">
        <f aca="false">C108</f>
        <v>250</v>
      </c>
      <c r="E105" s="102" t="n">
        <f aca="false">D108</f>
        <v>250</v>
      </c>
      <c r="F105" s="102" t="n">
        <f aca="false">E108</f>
        <v>-26.6291666666668</v>
      </c>
      <c r="G105" s="102" t="n">
        <f aca="false">F108</f>
        <v>86.8708333333332</v>
      </c>
      <c r="H105" s="102" t="n">
        <f aca="false">G108</f>
        <v>189.670833333333</v>
      </c>
      <c r="I105" s="102" t="n">
        <f aca="false">H108</f>
        <v>250</v>
      </c>
      <c r="J105" s="102" t="n">
        <f aca="false">I108</f>
        <v>250</v>
      </c>
      <c r="K105" s="102" t="n">
        <f aca="false">J108</f>
        <v>250</v>
      </c>
      <c r="L105" s="102" t="n">
        <f aca="false">K108</f>
        <v>250</v>
      </c>
      <c r="M105" s="102" t="n">
        <f aca="false">L108</f>
        <v>250</v>
      </c>
      <c r="N105" s="102" t="n">
        <f aca="false">M108</f>
        <v>178.880321058825</v>
      </c>
      <c r="O105" s="102" t="n">
        <f aca="false">N108</f>
        <v>250</v>
      </c>
    </row>
    <row r="106" customFormat="false" ht="12" hidden="false" customHeight="true" outlineLevel="0" collapsed="false">
      <c r="B106" s="101" t="s">
        <v>542</v>
      </c>
      <c r="C106" s="102" t="n">
        <f aca="false">Assumptions!$B$15</f>
        <v>3450</v>
      </c>
      <c r="D106" s="102" t="n">
        <f aca="false">C106+C107</f>
        <v>3146.42916666667</v>
      </c>
      <c r="E106" s="102" t="n">
        <f aca="false">D106+D107</f>
        <v>3515.92916666667</v>
      </c>
      <c r="F106" s="102" t="n">
        <f aca="false">E106+E107</f>
        <v>4000</v>
      </c>
      <c r="G106" s="102" t="n">
        <f aca="false">F106+F107</f>
        <v>4000</v>
      </c>
      <c r="H106" s="102" t="n">
        <f aca="false">G106+G107</f>
        <v>4000</v>
      </c>
      <c r="I106" s="102" t="n">
        <f aca="false">H106+H107</f>
        <v>3838.80214340278</v>
      </c>
      <c r="J106" s="102" t="n">
        <f aca="false">I106+I107</f>
        <v>3877.60214340278</v>
      </c>
      <c r="K106" s="102" t="n">
        <f aca="false">J106+J107</f>
        <v>3723.90214340278</v>
      </c>
      <c r="L106" s="102" t="n">
        <f aca="false">K106+K107</f>
        <v>3491.80214340278</v>
      </c>
      <c r="M106" s="102" t="n">
        <f aca="false">L106+L107</f>
        <v>3542.81967894118</v>
      </c>
      <c r="N106" s="102" t="n">
        <f aca="false">M106+M107</f>
        <v>4000</v>
      </c>
      <c r="O106" s="102" t="n">
        <f aca="false">N106+N107</f>
        <v>3964.91967894118</v>
      </c>
    </row>
    <row r="107" customFormat="false" ht="12" hidden="false" customHeight="true" outlineLevel="0" collapsed="false">
      <c r="B107" s="101" t="s">
        <v>543</v>
      </c>
      <c r="C107" s="102" t="n">
        <f aca="false">MAX(0,MIN(Assumptions!$B$14-C106,Assumptions!$B$17-(C105+C104)))-MIN(C106,MAX(0,(C105+C104)-Assumptions!$B$17))</f>
        <v>-303.570833333333</v>
      </c>
      <c r="D107" s="102" t="n">
        <f aca="false">MAX(0,MIN(Assumptions!$B$14-D106,Assumptions!$B$17-(D105+D104)))-MIN(D106,MAX(0,(D105+D104)-Assumptions!$B$17))</f>
        <v>369.5</v>
      </c>
      <c r="E107" s="102" t="n">
        <f aca="false">MAX(0,MIN(Assumptions!$B$14-E106,Assumptions!$B$17-(E105+E104)))-MIN(E106,MAX(0,(E105+E104)-Assumptions!$B$17))</f>
        <v>484.070833333333</v>
      </c>
      <c r="F107" s="102" t="n">
        <f aca="false">MAX(0,MIN(Assumptions!$B$14-F106,Assumptions!$B$17-(F105+F104)))-MIN(F106,MAX(0,(F105+F104)-Assumptions!$B$17))</f>
        <v>0</v>
      </c>
      <c r="G107" s="102" t="n">
        <f aca="false">MAX(0,MIN(Assumptions!$B$14-G106,Assumptions!$B$17-(G105+G104)))-MIN(G106,MAX(0,(G105+G104)-Assumptions!$B$17))</f>
        <v>0</v>
      </c>
      <c r="H107" s="102" t="n">
        <f aca="false">MAX(0,MIN(Assumptions!$B$14-H106,Assumptions!$B$17-(H105+H104)))-MIN(H106,MAX(0,(H105+H104)-Assumptions!$B$17))</f>
        <v>-161.197856597222</v>
      </c>
      <c r="I107" s="102" t="n">
        <f aca="false">MAX(0,MIN(Assumptions!$B$14-I106,Assumptions!$B$17-(I105+I104)))-MIN(I106,MAX(0,(I105+I104)-Assumptions!$B$17))</f>
        <v>38.8000000000001</v>
      </c>
      <c r="J107" s="102" t="n">
        <f aca="false">MAX(0,MIN(Assumptions!$B$14-J106,Assumptions!$B$17-(J105+J104)))-MIN(J106,MAX(0,(J105+J104)-Assumptions!$B$17))</f>
        <v>-153.7</v>
      </c>
      <c r="K107" s="102" t="n">
        <f aca="false">MAX(0,MIN(Assumptions!$B$14-K106,Assumptions!$B$17-(K105+K104)))-MIN(K106,MAX(0,(K105+K104)-Assumptions!$B$17))</f>
        <v>-232.1</v>
      </c>
      <c r="L107" s="102" t="n">
        <f aca="false">MAX(0,MIN(Assumptions!$B$14-L106,Assumptions!$B$17-(L105+L104)))-MIN(L106,MAX(0,(L105+L104)-Assumptions!$B$17))</f>
        <v>51.017535538397</v>
      </c>
      <c r="M107" s="102" t="n">
        <f aca="false">MAX(0,MIN(Assumptions!$B$14-M106,Assumptions!$B$17-(M105+M104)))-MIN(M106,MAX(0,(M105+M104)-Assumptions!$B$17))</f>
        <v>457.180321058825</v>
      </c>
      <c r="N107" s="102" t="n">
        <f aca="false">MAX(0,MIN(Assumptions!$B$14-N106,Assumptions!$B$17-(N105+N104)))-MIN(N106,MAX(0,(N105+N104)-Assumptions!$B$17))</f>
        <v>-35.0803210588244</v>
      </c>
      <c r="O107" s="102" t="n">
        <f aca="false">MAX(0,MIN(Assumptions!$B$14-O106,Assumptions!$B$17-(O105+O104)))-MIN(O106,MAX(0,(O105+O104)-Assumptions!$B$17))</f>
        <v>-222.3</v>
      </c>
    </row>
    <row r="108" customFormat="false" ht="12" hidden="false" customHeight="true" outlineLevel="0" collapsed="false">
      <c r="B108" s="101" t="s">
        <v>137</v>
      </c>
      <c r="C108" s="102" t="n">
        <f aca="false">C105+C104+C107</f>
        <v>250</v>
      </c>
      <c r="D108" s="102" t="n">
        <f aca="false">D105+D104+D107</f>
        <v>250</v>
      </c>
      <c r="E108" s="102" t="n">
        <f aca="false">E105+E104+E107</f>
        <v>-26.6291666666668</v>
      </c>
      <c r="F108" s="102" t="n">
        <f aca="false">F105+F104+F107</f>
        <v>86.8708333333332</v>
      </c>
      <c r="G108" s="102" t="n">
        <f aca="false">G105+G104+G107</f>
        <v>189.670833333333</v>
      </c>
      <c r="H108" s="102" t="n">
        <f aca="false">H105+H104+H107</f>
        <v>250</v>
      </c>
      <c r="I108" s="102" t="n">
        <f aca="false">I105+I104+I107</f>
        <v>250</v>
      </c>
      <c r="J108" s="102" t="n">
        <f aca="false">J105+J104+J107</f>
        <v>250</v>
      </c>
      <c r="K108" s="102" t="n">
        <f aca="false">K105+K104+K107</f>
        <v>250</v>
      </c>
      <c r="L108" s="102" t="n">
        <f aca="false">L105+L104+L107</f>
        <v>250</v>
      </c>
      <c r="M108" s="102" t="n">
        <f aca="false">M105+M104+M107</f>
        <v>178.880321058825</v>
      </c>
      <c r="N108" s="102" t="n">
        <f aca="false">N105+N104+N107</f>
        <v>250</v>
      </c>
      <c r="O108" s="102" t="n">
        <f aca="false">O105+O104+O107</f>
        <v>250</v>
      </c>
    </row>
    <row r="109" customFormat="false" ht="12" hidden="false" customHeight="true" outlineLevel="0" collapsed="false">
      <c r="B109" s="101" t="s">
        <v>544</v>
      </c>
      <c r="C109" s="102" t="n">
        <f aca="false">Assumptions!$B$14-(C106+C107)</f>
        <v>853.570833333333</v>
      </c>
      <c r="D109" s="102" t="n">
        <f aca="false">Assumptions!$B$14-(D106+D107)</f>
        <v>484.070833333333</v>
      </c>
      <c r="E109" s="102" t="n">
        <f aca="false">Assumptions!$B$14-(E106+E107)</f>
        <v>0</v>
      </c>
      <c r="F109" s="102" t="n">
        <f aca="false">Assumptions!$B$14-(F106+F107)</f>
        <v>0</v>
      </c>
      <c r="G109" s="102" t="n">
        <f aca="false">Assumptions!$B$14-(G106+G107)</f>
        <v>0</v>
      </c>
      <c r="H109" s="102" t="n">
        <f aca="false">Assumptions!$B$14-(H106+H107)</f>
        <v>161.197856597222</v>
      </c>
      <c r="I109" s="102" t="n">
        <f aca="false">Assumptions!$B$14-(I106+I107)</f>
        <v>122.397856597222</v>
      </c>
      <c r="J109" s="102" t="n">
        <f aca="false">Assumptions!$B$14-(J106+J107)</f>
        <v>276.097856597222</v>
      </c>
      <c r="K109" s="102" t="n">
        <f aca="false">Assumptions!$B$14-(K106+K107)</f>
        <v>508.197856597222</v>
      </c>
      <c r="L109" s="102" t="n">
        <f aca="false">Assumptions!$B$14-(L106+L107)</f>
        <v>457.180321058825</v>
      </c>
      <c r="M109" s="102" t="n">
        <f aca="false">Assumptions!$B$14-(M106+M107)</f>
        <v>0</v>
      </c>
      <c r="N109" s="102" t="n">
        <f aca="false">Assumptions!$B$14-(N106+N107)</f>
        <v>35.0803210588247</v>
      </c>
      <c r="O109" s="102" t="n">
        <f aca="false">Assumptions!$B$14-(O106+O107)</f>
        <v>257.380321058825</v>
      </c>
    </row>
    <row r="110" customFormat="false" ht="12" hidden="false" customHeight="true" outlineLevel="0" collapsed="false">
      <c r="B110" s="103" t="s">
        <v>545</v>
      </c>
      <c r="C110" s="104" t="n">
        <f aca="false">C108+C109</f>
        <v>1103.57083333333</v>
      </c>
      <c r="D110" s="104" t="n">
        <f aca="false">D108+D109</f>
        <v>734.070833333333</v>
      </c>
      <c r="E110" s="104" t="n">
        <f aca="false">E108+E109</f>
        <v>-26.6291666666668</v>
      </c>
      <c r="F110" s="104" t="n">
        <f aca="false">F108+F109</f>
        <v>86.8708333333332</v>
      </c>
      <c r="G110" s="104" t="n">
        <f aca="false">G108+G109</f>
        <v>189.670833333333</v>
      </c>
      <c r="H110" s="104" t="n">
        <f aca="false">H108+H109</f>
        <v>411.197856597222</v>
      </c>
      <c r="I110" s="104" t="n">
        <f aca="false">I108+I109</f>
        <v>372.397856597222</v>
      </c>
      <c r="J110" s="104" t="n">
        <f aca="false">J108+J109</f>
        <v>526.097856597222</v>
      </c>
      <c r="K110" s="104" t="n">
        <f aca="false">K108+K109</f>
        <v>758.197856597222</v>
      </c>
      <c r="L110" s="104" t="n">
        <f aca="false">L108+L109</f>
        <v>707.180321058825</v>
      </c>
      <c r="M110" s="104" t="n">
        <f aca="false">M108+M109</f>
        <v>178.880321058825</v>
      </c>
      <c r="N110" s="104" t="n">
        <f aca="false">N108+N109</f>
        <v>285.080321058825</v>
      </c>
      <c r="O110" s="104" t="n">
        <f aca="false">O108+O109</f>
        <v>507.380321058825</v>
      </c>
    </row>
  </sheetData>
  <mergeCells count="21">
    <mergeCell ref="A1:G1"/>
    <mergeCell ref="A2:G2"/>
    <mergeCell ref="A4:G4"/>
    <mergeCell ref="A11:G11"/>
    <mergeCell ref="F12:G12"/>
    <mergeCell ref="F13:G13"/>
    <mergeCell ref="F14:G14"/>
    <mergeCell ref="F15:G15"/>
    <mergeCell ref="F16:G16"/>
    <mergeCell ref="A18:G18"/>
    <mergeCell ref="B19:G19"/>
    <mergeCell ref="A27:G27"/>
    <mergeCell ref="B28:G28"/>
    <mergeCell ref="B36:G36"/>
    <mergeCell ref="A39:G39"/>
    <mergeCell ref="B40:G40"/>
    <mergeCell ref="A42:G42"/>
    <mergeCell ref="A56:G56"/>
    <mergeCell ref="A70:G70"/>
    <mergeCell ref="A84:G84"/>
    <mergeCell ref="A98:G98"/>
  </mergeCells>
  <conditionalFormatting sqref="F21:F25">
    <cfRule type="expression" priority="2" aboveAverage="0" equalAverage="0" bottom="0" percent="0" rank="0" text="" dxfId="0">
      <formula>F21="BREACH"</formula>
    </cfRule>
    <cfRule type="expression" priority="3" aboveAverage="0" equalAverage="0" bottom="0" percent="0" rank="0" text="" dxfId="3">
      <formula>F21="pass"</formula>
    </cfRule>
  </conditionalFormatting>
  <printOptions headings="false" gridLines="false" gridLinesSet="true" horizontalCentered="false" verticalCentered="false"/>
  <pageMargins left="0.3" right="0.3" top="0.4" bottom="0.4" header="0.5" footer="0.5"/>
  <pageSetup paperSize="9" scale="100" fitToWidth="1" fitToHeight="0" pageOrder="downThenOver" orientation="portrait" blackAndWhite="false" draft="false" cellComments="none" horizontalDpi="300" verticalDpi="300" copies="1"/>
  <headerFooter differentFirst="false" differentOddEven="false">
    <oddHeader>&amp;L&amp;"Arial,Bold"&amp;9Halcyon Metalworks Kft.&amp;R&amp;"Arial,Regular"&amp;913-WEEK ROLLING CASH FLOW FORECAST</oddHeader>
    <oddFooter>&amp;L&amp;"Arial,Regular"&amp;8Illustrative sample - fictional data - prepared by Tarlan Charkasov, ACCA&amp;R&amp;"Arial,Regular"&amp;8Page &amp;P of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6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2"/>
    <col collapsed="false" customWidth="true" hidden="false" outlineLevel="0" max="2" min="2" style="0" width="15"/>
    <col collapsed="false" customWidth="true" hidden="false" outlineLevel="0" max="3" min="3" style="0" width="13"/>
    <col collapsed="false" customWidth="true" hidden="false" outlineLevel="0" max="4" min="4" style="0" width="74"/>
  </cols>
  <sheetData>
    <row r="1" customFormat="false" ht="24" hidden="false" customHeight="true" outlineLevel="0" collapsed="false">
      <c r="A1" s="29" t="s">
        <v>550</v>
      </c>
      <c r="B1" s="29"/>
      <c r="C1" s="29"/>
      <c r="D1" s="29"/>
    </row>
    <row r="2" customFormat="false" ht="15" hidden="false" customHeight="true" outlineLevel="0" collapsed="false">
      <c r="A2" s="48" t="s">
        <v>551</v>
      </c>
      <c r="B2" s="48"/>
      <c r="C2" s="48"/>
      <c r="D2" s="48"/>
    </row>
    <row r="4" customFormat="false" ht="16.5" hidden="false" customHeight="true" outlineLevel="0" collapsed="false">
      <c r="A4" s="10" t="s">
        <v>552</v>
      </c>
      <c r="B4" s="10"/>
      <c r="C4" s="10"/>
      <c r="D4" s="10"/>
    </row>
    <row r="5" customFormat="false" ht="13.5" hidden="false" customHeight="true" outlineLevel="0" collapsed="false">
      <c r="A5" s="105" t="s">
        <v>553</v>
      </c>
      <c r="B5" s="106" t="n">
        <v>46227</v>
      </c>
      <c r="C5" s="107" t="s">
        <v>554</v>
      </c>
      <c r="D5" s="58" t="s">
        <v>555</v>
      </c>
    </row>
    <row r="6" customFormat="false" ht="13.5" hidden="false" customHeight="true" outlineLevel="0" collapsed="false">
      <c r="A6" s="105" t="s">
        <v>556</v>
      </c>
      <c r="B6" s="108" t="n">
        <v>46230</v>
      </c>
      <c r="C6" s="107" t="s">
        <v>554</v>
      </c>
      <c r="D6" s="58" t="s">
        <v>557</v>
      </c>
    </row>
    <row r="7" customFormat="false" ht="13.5" hidden="false" customHeight="true" outlineLevel="0" collapsed="false">
      <c r="A7" s="105" t="s">
        <v>558</v>
      </c>
      <c r="B7" s="109" t="n">
        <v>13</v>
      </c>
      <c r="C7" s="107" t="s">
        <v>559</v>
      </c>
      <c r="D7" s="58" t="s">
        <v>560</v>
      </c>
    </row>
    <row r="8" customFormat="false" ht="13.5" hidden="false" customHeight="true" outlineLevel="0" collapsed="false">
      <c r="A8" s="105" t="s">
        <v>561</v>
      </c>
      <c r="B8" s="110" t="n">
        <v>1</v>
      </c>
      <c r="C8" s="107" t="s">
        <v>562</v>
      </c>
      <c r="D8" s="58" t="s">
        <v>563</v>
      </c>
    </row>
    <row r="9" customFormat="false" ht="15" hidden="false" customHeight="false" outlineLevel="0" collapsed="false">
      <c r="A9" s="105" t="s">
        <v>564</v>
      </c>
      <c r="B9" s="111" t="str">
        <f aca="false">INDEX(Scenarios!$C$6:$E$6,1,Assumptions!$B$8)</f>
        <v>Base</v>
      </c>
      <c r="C9" s="107" t="s">
        <v>565</v>
      </c>
      <c r="D9" s="58" t="s">
        <v>566</v>
      </c>
    </row>
    <row r="10" customFormat="false" ht="13.5" hidden="false" customHeight="true" outlineLevel="0" collapsed="false">
      <c r="A10" s="105" t="s">
        <v>567</v>
      </c>
      <c r="B10" s="110" t="n">
        <v>0</v>
      </c>
      <c r="C10" s="107" t="s">
        <v>568</v>
      </c>
      <c r="D10" s="58" t="s">
        <v>569</v>
      </c>
    </row>
    <row r="12" customFormat="false" ht="16.5" hidden="false" customHeight="true" outlineLevel="0" collapsed="false">
      <c r="A12" s="10" t="s">
        <v>570</v>
      </c>
      <c r="B12" s="10"/>
      <c r="C12" s="10"/>
      <c r="D12" s="10"/>
    </row>
    <row r="13" customFormat="false" ht="13.5" hidden="false" customHeight="true" outlineLevel="0" collapsed="false">
      <c r="A13" s="105" t="s">
        <v>571</v>
      </c>
      <c r="B13" s="112" t="n">
        <v>620</v>
      </c>
      <c r="C13" s="107" t="s">
        <v>572</v>
      </c>
      <c r="D13" s="58" t="s">
        <v>573</v>
      </c>
    </row>
    <row r="14" customFormat="false" ht="13.5" hidden="false" customHeight="true" outlineLevel="0" collapsed="false">
      <c r="A14" s="105" t="s">
        <v>574</v>
      </c>
      <c r="B14" s="112" t="n">
        <v>4000</v>
      </c>
      <c r="C14" s="107" t="s">
        <v>572</v>
      </c>
      <c r="D14" s="58" t="s">
        <v>575</v>
      </c>
    </row>
    <row r="15" customFormat="false" ht="13.5" hidden="false" customHeight="true" outlineLevel="0" collapsed="false">
      <c r="A15" s="105" t="s">
        <v>576</v>
      </c>
      <c r="B15" s="112" t="n">
        <v>3450</v>
      </c>
      <c r="C15" s="107" t="s">
        <v>572</v>
      </c>
      <c r="D15" s="58" t="s">
        <v>577</v>
      </c>
    </row>
    <row r="16" customFormat="false" ht="13.5" hidden="false" customHeight="true" outlineLevel="0" collapsed="false">
      <c r="A16" s="105" t="s">
        <v>578</v>
      </c>
      <c r="B16" s="112" t="n">
        <v>2400</v>
      </c>
      <c r="C16" s="107" t="s">
        <v>572</v>
      </c>
      <c r="D16" s="58" t="s">
        <v>579</v>
      </c>
    </row>
    <row r="17" customFormat="false" ht="13.5" hidden="false" customHeight="true" outlineLevel="0" collapsed="false">
      <c r="A17" s="105" t="s">
        <v>580</v>
      </c>
      <c r="B17" s="112" t="n">
        <v>250</v>
      </c>
      <c r="C17" s="107" t="s">
        <v>572</v>
      </c>
      <c r="D17" s="58" t="s">
        <v>581</v>
      </c>
    </row>
    <row r="18" customFormat="false" ht="13.5" hidden="false" customHeight="true" outlineLevel="0" collapsed="false">
      <c r="A18" s="105" t="s">
        <v>582</v>
      </c>
      <c r="B18" s="112" t="n">
        <v>1000</v>
      </c>
      <c r="C18" s="107" t="s">
        <v>572</v>
      </c>
      <c r="D18" s="58" t="s">
        <v>583</v>
      </c>
    </row>
    <row r="19" customFormat="false" ht="15" hidden="false" customHeight="false" outlineLevel="0" collapsed="false">
      <c r="A19" s="105" t="s">
        <v>584</v>
      </c>
      <c r="B19" s="113" t="n">
        <f aca="false">'Receipts Build'!$G$99</f>
        <v>7347.8</v>
      </c>
      <c r="C19" s="107" t="s">
        <v>572</v>
      </c>
      <c r="D19" s="58" t="s">
        <v>585</v>
      </c>
    </row>
    <row r="20" customFormat="false" ht="15" hidden="false" customHeight="false" outlineLevel="0" collapsed="false">
      <c r="A20" s="105" t="s">
        <v>586</v>
      </c>
      <c r="B20" s="113" t="n">
        <f aca="false">'Payments Build'!$G$73</f>
        <v>2906.8</v>
      </c>
      <c r="C20" s="107" t="s">
        <v>572</v>
      </c>
      <c r="D20" s="58" t="s">
        <v>587</v>
      </c>
    </row>
    <row r="21" customFormat="false" ht="15" hidden="false" customHeight="false" outlineLevel="0" collapsed="false">
      <c r="A21" s="105" t="s">
        <v>588</v>
      </c>
      <c r="B21" s="114" t="n">
        <f aca="false">Assumptions!$B$19/Assumptions!$B$24*365</f>
        <v>77.0674425287356</v>
      </c>
      <c r="C21" s="107" t="s">
        <v>589</v>
      </c>
      <c r="D21" s="58" t="s">
        <v>590</v>
      </c>
    </row>
    <row r="23" customFormat="false" ht="16.5" hidden="false" customHeight="true" outlineLevel="0" collapsed="false">
      <c r="A23" s="10" t="s">
        <v>591</v>
      </c>
      <c r="B23" s="10"/>
      <c r="C23" s="10"/>
      <c r="D23" s="10"/>
    </row>
    <row r="24" customFormat="false" ht="13.5" hidden="false" customHeight="true" outlineLevel="0" collapsed="false">
      <c r="A24" s="105" t="s">
        <v>592</v>
      </c>
      <c r="B24" s="112" t="n">
        <v>34800</v>
      </c>
      <c r="C24" s="107" t="s">
        <v>572</v>
      </c>
      <c r="D24" s="58" t="s">
        <v>593</v>
      </c>
    </row>
    <row r="25" customFormat="false" ht="15" hidden="false" customHeight="false" outlineLevel="0" collapsed="false">
      <c r="A25" s="105" t="s">
        <v>594</v>
      </c>
      <c r="B25" s="67" t="n">
        <f aca="false">Assumptions!$B$24/52</f>
        <v>669.230769230769</v>
      </c>
      <c r="C25" s="107" t="s">
        <v>572</v>
      </c>
      <c r="D25" s="58" t="s">
        <v>595</v>
      </c>
    </row>
    <row r="26" customFormat="false" ht="13.5" hidden="false" customHeight="true" outlineLevel="0" collapsed="false">
      <c r="A26" s="105" t="s">
        <v>596</v>
      </c>
      <c r="B26" s="115" t="n">
        <v>0.46</v>
      </c>
      <c r="C26" s="107" t="s">
        <v>597</v>
      </c>
      <c r="D26" s="58" t="s">
        <v>598</v>
      </c>
    </row>
    <row r="27" customFormat="false" ht="13.5" hidden="false" customHeight="true" outlineLevel="0" collapsed="false">
      <c r="A27" s="105" t="s">
        <v>120</v>
      </c>
      <c r="B27" s="115" t="n">
        <v>0.06</v>
      </c>
      <c r="C27" s="107" t="s">
        <v>597</v>
      </c>
      <c r="D27" s="58" t="s">
        <v>599</v>
      </c>
    </row>
    <row r="28" customFormat="false" ht="13.5" hidden="false" customHeight="true" outlineLevel="0" collapsed="false">
      <c r="A28" s="105" t="s">
        <v>121</v>
      </c>
      <c r="B28" s="115" t="n">
        <v>0.055</v>
      </c>
      <c r="C28" s="107" t="s">
        <v>597</v>
      </c>
      <c r="D28" s="58" t="s">
        <v>600</v>
      </c>
    </row>
    <row r="29" customFormat="false" ht="13.5" hidden="false" customHeight="true" outlineLevel="0" collapsed="false">
      <c r="A29" s="105" t="s">
        <v>123</v>
      </c>
      <c r="B29" s="115" t="n">
        <v>0.025</v>
      </c>
      <c r="C29" s="107" t="s">
        <v>597</v>
      </c>
      <c r="D29" s="58" t="s">
        <v>601</v>
      </c>
    </row>
    <row r="30" customFormat="false" ht="13.5" hidden="false" customHeight="true" outlineLevel="0" collapsed="false">
      <c r="A30" s="105" t="s">
        <v>602</v>
      </c>
      <c r="B30" s="115" t="n">
        <v>0.011</v>
      </c>
      <c r="C30" s="107" t="s">
        <v>597</v>
      </c>
      <c r="D30" s="58" t="s">
        <v>603</v>
      </c>
    </row>
    <row r="32" customFormat="false" ht="16.5" hidden="false" customHeight="true" outlineLevel="0" collapsed="false">
      <c r="A32" s="10" t="s">
        <v>604</v>
      </c>
      <c r="B32" s="10"/>
      <c r="C32" s="10"/>
      <c r="D32" s="10"/>
    </row>
    <row r="33" customFormat="false" ht="13.5" hidden="false" customHeight="true" outlineLevel="0" collapsed="false">
      <c r="A33" s="105" t="s">
        <v>124</v>
      </c>
      <c r="B33" s="112" t="n">
        <v>305</v>
      </c>
      <c r="C33" s="107" t="s">
        <v>605</v>
      </c>
      <c r="D33" s="58" t="s">
        <v>606</v>
      </c>
    </row>
    <row r="34" customFormat="false" ht="13.5" hidden="false" customHeight="true" outlineLevel="0" collapsed="false">
      <c r="A34" s="105" t="s">
        <v>125</v>
      </c>
      <c r="B34" s="112" t="n">
        <v>228</v>
      </c>
      <c r="C34" s="107" t="s">
        <v>605</v>
      </c>
      <c r="D34" s="58" t="s">
        <v>607</v>
      </c>
    </row>
    <row r="35" customFormat="false" ht="13.5" hidden="false" customHeight="true" outlineLevel="0" collapsed="false">
      <c r="A35" s="105" t="s">
        <v>608</v>
      </c>
      <c r="B35" s="112" t="n">
        <v>93</v>
      </c>
      <c r="C35" s="107" t="s">
        <v>605</v>
      </c>
      <c r="D35" s="58" t="s">
        <v>609</v>
      </c>
    </row>
    <row r="36" customFormat="false" ht="13.5" hidden="false" customHeight="true" outlineLevel="0" collapsed="false">
      <c r="A36" s="105" t="s">
        <v>610</v>
      </c>
      <c r="B36" s="112" t="n">
        <v>58</v>
      </c>
      <c r="C36" s="107" t="s">
        <v>605</v>
      </c>
      <c r="D36" s="58" t="s">
        <v>611</v>
      </c>
    </row>
    <row r="37" customFormat="false" ht="13.5" hidden="false" customHeight="true" outlineLevel="0" collapsed="false">
      <c r="A37" s="105" t="s">
        <v>612</v>
      </c>
      <c r="B37" s="112" t="n">
        <v>64</v>
      </c>
      <c r="C37" s="107" t="s">
        <v>605</v>
      </c>
      <c r="D37" s="58" t="s">
        <v>613</v>
      </c>
    </row>
    <row r="38" customFormat="false" ht="13.5" hidden="false" customHeight="true" outlineLevel="0" collapsed="false">
      <c r="A38" s="105" t="s">
        <v>614</v>
      </c>
      <c r="B38" s="112" t="n">
        <v>25</v>
      </c>
      <c r="C38" s="107" t="s">
        <v>605</v>
      </c>
      <c r="D38" s="58" t="s">
        <v>615</v>
      </c>
    </row>
    <row r="40" customFormat="false" ht="16.5" hidden="false" customHeight="true" outlineLevel="0" collapsed="false">
      <c r="A40" s="10" t="s">
        <v>616</v>
      </c>
      <c r="B40" s="10"/>
      <c r="C40" s="10"/>
      <c r="D40" s="10"/>
    </row>
    <row r="41" customFormat="false" ht="13.5" hidden="false" customHeight="true" outlineLevel="0" collapsed="false">
      <c r="A41" s="105" t="s">
        <v>617</v>
      </c>
      <c r="B41" s="116" t="n">
        <v>0.064</v>
      </c>
      <c r="C41" s="107" t="s">
        <v>618</v>
      </c>
      <c r="D41" s="58" t="s">
        <v>619</v>
      </c>
    </row>
    <row r="42" customFormat="false" ht="13.5" hidden="false" customHeight="true" outlineLevel="0" collapsed="false">
      <c r="A42" s="105" t="s">
        <v>620</v>
      </c>
      <c r="B42" s="116" t="n">
        <v>0.056</v>
      </c>
      <c r="C42" s="107" t="s">
        <v>618</v>
      </c>
      <c r="D42" s="58" t="s">
        <v>621</v>
      </c>
    </row>
    <row r="43" customFormat="false" ht="13.5" hidden="false" customHeight="true" outlineLevel="0" collapsed="false">
      <c r="A43" s="105" t="s">
        <v>622</v>
      </c>
      <c r="B43" s="116" t="n">
        <v>0.005</v>
      </c>
      <c r="C43" s="107" t="s">
        <v>618</v>
      </c>
      <c r="D43" s="58" t="s">
        <v>623</v>
      </c>
    </row>
    <row r="44" customFormat="false" ht="13.5" hidden="false" customHeight="true" outlineLevel="0" collapsed="false">
      <c r="A44" s="105" t="s">
        <v>624</v>
      </c>
      <c r="B44" s="117" t="n">
        <v>2.5</v>
      </c>
      <c r="C44" s="107" t="s">
        <v>605</v>
      </c>
      <c r="D44" s="58" t="s">
        <v>625</v>
      </c>
    </row>
    <row r="45" customFormat="false" ht="13.5" hidden="false" customHeight="true" outlineLevel="0" collapsed="false">
      <c r="A45" s="105" t="s">
        <v>626</v>
      </c>
      <c r="B45" s="112" t="n">
        <v>200</v>
      </c>
      <c r="C45" s="107" t="s">
        <v>572</v>
      </c>
      <c r="D45" s="58" t="s">
        <v>627</v>
      </c>
    </row>
    <row r="46" customFormat="false" ht="13.5" hidden="false" customHeight="true" outlineLevel="0" collapsed="false">
      <c r="A46" s="105" t="s">
        <v>628</v>
      </c>
      <c r="B46" s="109" t="n">
        <v>50</v>
      </c>
      <c r="C46" s="107" t="s">
        <v>589</v>
      </c>
      <c r="D46" s="58" t="s">
        <v>629</v>
      </c>
    </row>
    <row r="47" customFormat="false" ht="13.5" hidden="false" customHeight="true" outlineLevel="0" collapsed="false">
      <c r="A47" s="105" t="s">
        <v>630</v>
      </c>
      <c r="B47" s="115" t="n">
        <v>0.27</v>
      </c>
      <c r="C47" s="107" t="s">
        <v>631</v>
      </c>
      <c r="D47" s="58" t="s">
        <v>632</v>
      </c>
    </row>
    <row r="49" customFormat="false" ht="16.5" hidden="false" customHeight="true" outlineLevel="0" collapsed="false">
      <c r="A49" s="10" t="s">
        <v>633</v>
      </c>
      <c r="B49" s="10"/>
      <c r="C49" s="10"/>
      <c r="D49" s="10"/>
    </row>
    <row r="50" customFormat="false" ht="13.5" hidden="false" customHeight="true" outlineLevel="0" collapsed="false">
      <c r="A50" s="105" t="s">
        <v>634</v>
      </c>
      <c r="B50" s="109" t="n">
        <v>21</v>
      </c>
      <c r="C50" s="107" t="s">
        <v>589</v>
      </c>
      <c r="D50" s="58" t="s">
        <v>635</v>
      </c>
    </row>
    <row r="51" customFormat="false" ht="13.5" hidden="false" customHeight="true" outlineLevel="0" collapsed="false">
      <c r="A51" s="105" t="s">
        <v>636</v>
      </c>
      <c r="B51" s="109" t="n">
        <v>15</v>
      </c>
      <c r="C51" s="107" t="s">
        <v>589</v>
      </c>
      <c r="D51" s="58" t="s">
        <v>637</v>
      </c>
    </row>
    <row r="52" customFormat="false" ht="13.5" hidden="false" customHeight="true" outlineLevel="0" collapsed="false">
      <c r="A52" s="105" t="s">
        <v>638</v>
      </c>
      <c r="B52" s="115" t="n">
        <v>0.012</v>
      </c>
      <c r="C52" s="107" t="s">
        <v>639</v>
      </c>
      <c r="D52" s="58" t="s">
        <v>640</v>
      </c>
    </row>
    <row r="53" customFormat="false" ht="13.5" hidden="false" customHeight="true" outlineLevel="0" collapsed="false">
      <c r="A53" s="105" t="s">
        <v>641</v>
      </c>
      <c r="B53" s="106" t="n">
        <v>46300</v>
      </c>
      <c r="C53" s="107" t="s">
        <v>554</v>
      </c>
      <c r="D53" s="58" t="s">
        <v>642</v>
      </c>
    </row>
    <row r="55" customFormat="false" ht="16.5" hidden="false" customHeight="true" outlineLevel="0" collapsed="false">
      <c r="A55" s="10" t="s">
        <v>643</v>
      </c>
      <c r="B55" s="10"/>
      <c r="C55" s="10"/>
      <c r="D55" s="10"/>
    </row>
    <row r="56" customFormat="false" ht="21.75" hidden="false" customHeight="true" outlineLevel="0" collapsed="false">
      <c r="A56" s="118" t="s">
        <v>644</v>
      </c>
      <c r="B56" s="90" t="s">
        <v>645</v>
      </c>
      <c r="C56" s="90"/>
      <c r="D56" s="90"/>
    </row>
    <row r="57" customFormat="false" ht="21.75" hidden="false" customHeight="true" outlineLevel="0" collapsed="false">
      <c r="A57" s="118" t="s">
        <v>644</v>
      </c>
      <c r="B57" s="90" t="s">
        <v>646</v>
      </c>
      <c r="C57" s="90"/>
      <c r="D57" s="90"/>
    </row>
    <row r="58" customFormat="false" ht="21.75" hidden="false" customHeight="true" outlineLevel="0" collapsed="false">
      <c r="A58" s="118" t="s">
        <v>644</v>
      </c>
      <c r="B58" s="90" t="s">
        <v>647</v>
      </c>
      <c r="C58" s="90"/>
      <c r="D58" s="90"/>
    </row>
    <row r="59" customFormat="false" ht="21.75" hidden="false" customHeight="true" outlineLevel="0" collapsed="false">
      <c r="A59" s="118" t="s">
        <v>644</v>
      </c>
      <c r="B59" s="90" t="s">
        <v>648</v>
      </c>
      <c r="C59" s="90"/>
      <c r="D59" s="90"/>
    </row>
    <row r="60" customFormat="false" ht="21.75" hidden="false" customHeight="true" outlineLevel="0" collapsed="false">
      <c r="A60" s="118" t="s">
        <v>644</v>
      </c>
      <c r="B60" s="90" t="s">
        <v>649</v>
      </c>
      <c r="C60" s="90"/>
      <c r="D60" s="90"/>
    </row>
    <row r="61" customFormat="false" ht="21.75" hidden="false" customHeight="true" outlineLevel="0" collapsed="false">
      <c r="A61" s="118" t="s">
        <v>644</v>
      </c>
      <c r="B61" s="90" t="s">
        <v>650</v>
      </c>
      <c r="C61" s="90"/>
      <c r="D61" s="90"/>
    </row>
    <row r="62" customFormat="false" ht="21.75" hidden="false" customHeight="true" outlineLevel="0" collapsed="false">
      <c r="A62" s="118" t="s">
        <v>644</v>
      </c>
      <c r="B62" s="90" t="s">
        <v>651</v>
      </c>
      <c r="C62" s="90"/>
      <c r="D62" s="90"/>
    </row>
  </sheetData>
  <mergeCells count="16">
    <mergeCell ref="A1:D1"/>
    <mergeCell ref="A2:D2"/>
    <mergeCell ref="A4:D4"/>
    <mergeCell ref="A12:D12"/>
    <mergeCell ref="A23:D23"/>
    <mergeCell ref="A32:D32"/>
    <mergeCell ref="A40:D40"/>
    <mergeCell ref="A49:D49"/>
    <mergeCell ref="A55:D55"/>
    <mergeCell ref="B56:D56"/>
    <mergeCell ref="B57:D57"/>
    <mergeCell ref="B58:D58"/>
    <mergeCell ref="B59:D59"/>
    <mergeCell ref="B60:D60"/>
    <mergeCell ref="B61:D61"/>
    <mergeCell ref="B62:D62"/>
  </mergeCells>
  <printOptions headings="false" gridLines="false" gridLinesSet="true" horizontalCentered="false" verticalCentered="false"/>
  <pageMargins left="0.3" right="0.3" top="0.4" bottom="0.4" header="0.5" footer="0.5"/>
  <pageSetup paperSize="9" scale="100" fitToWidth="1" fitToHeight="0" pageOrder="downThenOver" orientation="portrait" blackAndWhite="false" draft="false" cellComments="none" horizontalDpi="300" verticalDpi="300" copies="1"/>
  <headerFooter differentFirst="false" differentOddEven="false">
    <oddHeader>&amp;L&amp;"Arial,Bold"&amp;9Halcyon Metalworks Kft.&amp;R&amp;"Arial,Regular"&amp;913-WEEK ROLLING CASH FLOW FORECAST</oddHeader>
    <oddFooter>&amp;L&amp;"Arial,Regular"&amp;8Illustrative sample - fictional data - prepared by Tarlan Charkasov, ACCA&amp;R&amp;"Arial,Regular"&amp;8Page &amp;P of &amp;N</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58"/>
    <col collapsed="false" customWidth="true" hidden="false" outlineLevel="0" max="4" min="3" style="0" width="15"/>
    <col collapsed="false" customWidth="true" hidden="false" outlineLevel="0" max="5" min="5" style="0" width="13"/>
    <col collapsed="false" customWidth="true" hidden="false" outlineLevel="0" max="6" min="6" style="0" width="12"/>
    <col collapsed="false" customWidth="true" hidden="false" outlineLevel="0" max="7" min="7" style="0" width="62"/>
  </cols>
  <sheetData>
    <row r="1" customFormat="false" ht="24" hidden="false" customHeight="true" outlineLevel="0" collapsed="false">
      <c r="A1" s="29" t="s">
        <v>652</v>
      </c>
      <c r="B1" s="29"/>
      <c r="C1" s="29"/>
      <c r="D1" s="29"/>
      <c r="E1" s="29"/>
      <c r="F1" s="29"/>
      <c r="G1" s="29"/>
    </row>
    <row r="2" customFormat="false" ht="15" hidden="false" customHeight="true" outlineLevel="0" collapsed="false">
      <c r="A2" s="48" t="s">
        <v>653</v>
      </c>
      <c r="B2" s="48"/>
      <c r="C2" s="48"/>
      <c r="D2" s="48"/>
      <c r="E2" s="48"/>
      <c r="F2" s="48"/>
      <c r="G2" s="48"/>
    </row>
    <row r="4" customFormat="false" ht="15" hidden="false" customHeight="false" outlineLevel="0" collapsed="false">
      <c r="B4" s="7" t="s">
        <v>654</v>
      </c>
      <c r="C4" s="119" t="str">
        <f aca="false">IF(COUNTIF($F$7:$F$22,"OK")=16,"ALL CHECKS OK","EXCEPTIONS - DO NOT ISSUE")</f>
        <v>ALL CHECKS OK</v>
      </c>
      <c r="D4" s="119"/>
      <c r="E4" s="120" t="str">
        <f aca="false">COUNTIF($F$7:$F$22,"OK")&amp;" of 16 checks passed"</f>
        <v>16 of 16 checks passed</v>
      </c>
      <c r="F4" s="120"/>
      <c r="G4" s="120"/>
    </row>
    <row r="6" customFormat="false" ht="27.75" hidden="false" customHeight="true" outlineLevel="0" collapsed="false">
      <c r="B6" s="12" t="s">
        <v>655</v>
      </c>
      <c r="C6" s="12" t="s">
        <v>656</v>
      </c>
      <c r="D6" s="12" t="s">
        <v>657</v>
      </c>
      <c r="E6" s="12" t="s">
        <v>658</v>
      </c>
      <c r="F6" s="12" t="s">
        <v>70</v>
      </c>
      <c r="G6" s="12" t="s">
        <v>659</v>
      </c>
    </row>
    <row r="7" customFormat="false" ht="21.75" hidden="false" customHeight="true" outlineLevel="0" collapsed="false">
      <c r="A7" s="49" t="n">
        <v>1</v>
      </c>
      <c r="B7" s="70" t="s">
        <v>660</v>
      </c>
      <c r="C7" s="121" t="n">
        <f aca="false">SUMPRODUCT(--(ROUND('Weekly Cash Flow'!$B$41:$N$41,6)=ROUND('Weekly Cash Flow'!$B$9:$N$9+'Weekly Cash Flow'!$B$40:$N$40,6)))</f>
        <v>13</v>
      </c>
      <c r="D7" s="121" t="n">
        <f aca="false">13</f>
        <v>13</v>
      </c>
      <c r="E7" s="121" t="n">
        <f aca="false">C7-D7</f>
        <v>0</v>
      </c>
      <c r="F7" s="122" t="str">
        <f aca="false">IF(ABS(E7)&lt;0.01,"OK","CHECK")</f>
        <v>OK</v>
      </c>
      <c r="G7" s="123" t="s">
        <v>661</v>
      </c>
    </row>
    <row r="8" customFormat="false" ht="21.75" hidden="false" customHeight="true" outlineLevel="0" collapsed="false">
      <c r="A8" s="49" t="n">
        <v>2</v>
      </c>
      <c r="B8" s="70" t="s">
        <v>662</v>
      </c>
      <c r="C8" s="121" t="n">
        <f aca="false">SUMPRODUCT(--(ROUND('Weekly Cash Flow'!$C$9:$N$9,6)=ROUND('Weekly Cash Flow'!$B$41:$M$41,6)))</f>
        <v>12</v>
      </c>
      <c r="D8" s="121" t="n">
        <f aca="false">12</f>
        <v>12</v>
      </c>
      <c r="E8" s="121" t="n">
        <f aca="false">C8-D8</f>
        <v>0</v>
      </c>
      <c r="F8" s="122" t="str">
        <f aca="false">IF(ABS(E8)&lt;0.01,"OK","CHECK")</f>
        <v>OK</v>
      </c>
      <c r="G8" s="123" t="s">
        <v>663</v>
      </c>
    </row>
    <row r="9" customFormat="false" ht="21.75" hidden="false" customHeight="true" outlineLevel="0" collapsed="false">
      <c r="A9" s="49" t="n">
        <v>3</v>
      </c>
      <c r="B9" s="70" t="s">
        <v>664</v>
      </c>
      <c r="C9" s="121" t="n">
        <f aca="false">SUM('Weekly Cash Flow'!$B$18:$N$18)</f>
        <v>9221</v>
      </c>
      <c r="D9" s="121" t="n">
        <f aca="false">SUM('Weekly Cash Flow'!$B$12:$N$17)</f>
        <v>9221</v>
      </c>
      <c r="E9" s="121" t="n">
        <f aca="false">C9-D9</f>
        <v>0</v>
      </c>
      <c r="F9" s="122" t="str">
        <f aca="false">IF(ABS(E9)&lt;0.01,"OK","CHECK")</f>
        <v>OK</v>
      </c>
      <c r="G9" s="123" t="s">
        <v>665</v>
      </c>
    </row>
    <row r="10" customFormat="false" ht="21.75" hidden="false" customHeight="true" outlineLevel="0" collapsed="false">
      <c r="A10" s="49" t="n">
        <v>4</v>
      </c>
      <c r="B10" s="70" t="s">
        <v>666</v>
      </c>
      <c r="C10" s="121" t="n">
        <f aca="false">SUM('Weekly Cash Flow'!$B$34:$N$34)</f>
        <v>-8657.11967894118</v>
      </c>
      <c r="D10" s="121" t="n">
        <f aca="false">SUM('Weekly Cash Flow'!$B$21:$N$33)</f>
        <v>-8657.11967894118</v>
      </c>
      <c r="E10" s="121" t="n">
        <f aca="false">C10-D10</f>
        <v>0</v>
      </c>
      <c r="F10" s="122" t="str">
        <f aca="false">IF(ABS(E10)&lt;0.01,"OK","CHECK")</f>
        <v>OK</v>
      </c>
      <c r="G10" s="123" t="s">
        <v>667</v>
      </c>
    </row>
    <row r="11" customFormat="false" ht="21.75" hidden="false" customHeight="true" outlineLevel="0" collapsed="false">
      <c r="A11" s="49" t="n">
        <v>5</v>
      </c>
      <c r="B11" s="70" t="s">
        <v>668</v>
      </c>
      <c r="C11" s="121" t="n">
        <f aca="false">SUM('Weekly Cash Flow'!$B$12:$N$17)</f>
        <v>9221</v>
      </c>
      <c r="D11" s="121" t="n">
        <f aca="false">SUMIFS('Receipts Build'!$O$34:$O$98,'Receipts Build'!$N$34:$N$98,"&gt;="&amp;'Weekly Cash Flow'!$B$5,'Receipts Build'!$N$34:$N$98,"&lt;="&amp;'Weekly Cash Flow'!$N$6)+SUMIFS('Receipts Build'!$O$103:$O$207,'Receipts Build'!$N$103:$N$207,"&gt;="&amp;'Weekly Cash Flow'!$B$5,'Receipts Build'!$N$103:$N$207,"&lt;="&amp;'Weekly Cash Flow'!$N$6)+SUMIFS('Receipts Build'!$O$212:$O$215,'Receipts Build'!$N$212:$N$215,"&gt;="&amp;'Weekly Cash Flow'!$B$5,'Receipts Build'!$N$212:$N$215,"&lt;="&amp;'Weekly Cash Flow'!$N$6)</f>
        <v>9221</v>
      </c>
      <c r="E11" s="121" t="n">
        <f aca="false">C11-D11</f>
        <v>0</v>
      </c>
      <c r="F11" s="122" t="str">
        <f aca="false">IF(ABS(E11)&lt;0.01,"OK","CHECK")</f>
        <v>OK</v>
      </c>
      <c r="G11" s="123" t="s">
        <v>669</v>
      </c>
    </row>
    <row r="12" customFormat="false" ht="21.75" hidden="false" customHeight="true" outlineLevel="0" collapsed="false">
      <c r="A12" s="49" t="n">
        <v>6</v>
      </c>
      <c r="B12" s="70" t="s">
        <v>670</v>
      </c>
      <c r="C12" s="121" t="n">
        <f aca="false">-SUM('Weekly Cash Flow'!$B$21:$N$31)-SUM('Weekly Cash Flow'!$B$33:$N$33)</f>
        <v>8568.6</v>
      </c>
      <c r="D12" s="121" t="n">
        <f aca="false">SUMIFS('Payments Build'!$M$34:$M$72,'Payments Build'!$L$34:$L$72,"&gt;="&amp;'Weekly Cash Flow'!$B$5,'Payments Build'!$L$34:$L$72,"&lt;="&amp;'Weekly Cash Flow'!$N$6)+SUMIFS('Payments Build'!$M$77:$M$180,'Payments Build'!$L$77:$L$180,"&gt;="&amp;'Weekly Cash Flow'!$B$5,'Payments Build'!$L$77:$L$180,"&lt;="&amp;'Weekly Cash Flow'!$N$6)+SUMIFS('Payments Build'!$M$185:$M$210,'Payments Build'!$L$185:$L$210,"&gt;="&amp;'Weekly Cash Flow'!$B$5,'Payments Build'!$L$185:$L$210,"&lt;="&amp;'Weekly Cash Flow'!$N$6)</f>
        <v>8568.6</v>
      </c>
      <c r="E12" s="121" t="n">
        <f aca="false">C12-D12</f>
        <v>0</v>
      </c>
      <c r="F12" s="122" t="str">
        <f aca="false">IF(ABS(E12)&lt;0.01,"OK","CHECK")</f>
        <v>OK</v>
      </c>
      <c r="G12" s="123" t="s">
        <v>671</v>
      </c>
    </row>
    <row r="13" customFormat="false" ht="21.75" hidden="false" customHeight="true" outlineLevel="0" collapsed="false">
      <c r="A13" s="49" t="n">
        <v>7</v>
      </c>
      <c r="B13" s="70" t="s">
        <v>672</v>
      </c>
      <c r="C13" s="121" t="n">
        <f aca="false">Assumptions!$B$19</f>
        <v>7347.8</v>
      </c>
      <c r="D13" s="121" t="n">
        <f aca="false">'Receipts Build'!$G$99</f>
        <v>7347.8</v>
      </c>
      <c r="E13" s="121" t="n">
        <f aca="false">C13-D13</f>
        <v>0</v>
      </c>
      <c r="F13" s="122" t="str">
        <f aca="false">IF(ABS(E13)&lt;0.01,"OK","CHECK")</f>
        <v>OK</v>
      </c>
      <c r="G13" s="123" t="s">
        <v>673</v>
      </c>
    </row>
    <row r="14" customFormat="false" ht="21.75" hidden="false" customHeight="true" outlineLevel="0" collapsed="false">
      <c r="A14" s="49" t="n">
        <v>8</v>
      </c>
      <c r="B14" s="70" t="s">
        <v>674</v>
      </c>
      <c r="C14" s="121" t="n">
        <f aca="false">Assumptions!$B$20</f>
        <v>2906.8</v>
      </c>
      <c r="D14" s="121" t="n">
        <f aca="false">'Payments Build'!$G$73</f>
        <v>2906.8</v>
      </c>
      <c r="E14" s="121" t="n">
        <f aca="false">C14-D14</f>
        <v>0</v>
      </c>
      <c r="F14" s="122" t="str">
        <f aca="false">IF(ABS(E14)&lt;0.01,"OK","CHECK")</f>
        <v>OK</v>
      </c>
      <c r="G14" s="123" t="s">
        <v>675</v>
      </c>
    </row>
    <row r="15" customFormat="false" ht="21.75" hidden="false" customHeight="true" outlineLevel="0" collapsed="false">
      <c r="A15" s="49" t="n">
        <v>9</v>
      </c>
      <c r="B15" s="70" t="s">
        <v>676</v>
      </c>
      <c r="C15" s="121" t="n">
        <f aca="false">SUMPRODUCT(--('Weekly Cash Flow'!$B$45:$N$45&lt;='Weekly Cash Flow'!$B$43:$N$43))</f>
        <v>13</v>
      </c>
      <c r="D15" s="121" t="n">
        <f aca="false">13</f>
        <v>13</v>
      </c>
      <c r="E15" s="121" t="n">
        <f aca="false">C15-D15</f>
        <v>0</v>
      </c>
      <c r="F15" s="122" t="str">
        <f aca="false">IF(ABS(E15)&lt;0.01,"OK","CHECK")</f>
        <v>OK</v>
      </c>
      <c r="G15" s="123" t="s">
        <v>677</v>
      </c>
    </row>
    <row r="16" customFormat="false" ht="21.75" hidden="false" customHeight="true" outlineLevel="0" collapsed="false">
      <c r="A16" s="49" t="n">
        <v>10</v>
      </c>
      <c r="B16" s="70" t="s">
        <v>678</v>
      </c>
      <c r="C16" s="121" t="n">
        <f aca="false">SUMPRODUCT(--('Weekly Cash Flow'!$B$45:$N$45&gt;=0))</f>
        <v>13</v>
      </c>
      <c r="D16" s="121" t="n">
        <f aca="false">13</f>
        <v>13</v>
      </c>
      <c r="E16" s="121" t="n">
        <f aca="false">C16-D16</f>
        <v>0</v>
      </c>
      <c r="F16" s="122" t="str">
        <f aca="false">IF(ABS(E16)&lt;0.01,"OK","CHECK")</f>
        <v>OK</v>
      </c>
      <c r="G16" s="123" t="s">
        <v>679</v>
      </c>
    </row>
    <row r="17" customFormat="false" ht="21.75" hidden="false" customHeight="true" outlineLevel="0" collapsed="false">
      <c r="A17" s="49" t="n">
        <v>11</v>
      </c>
      <c r="B17" s="70" t="s">
        <v>680</v>
      </c>
      <c r="C17" s="121" t="n">
        <f aca="false">'Weekly Cash Flow'!$N$53</f>
        <v>2200</v>
      </c>
      <c r="D17" s="121" t="n">
        <f aca="false">Assumptions!$B$16+SUM('Weekly Cash Flow'!$B$33:$N$33)</f>
        <v>2200</v>
      </c>
      <c r="E17" s="121" t="n">
        <f aca="false">C17-D17</f>
        <v>0</v>
      </c>
      <c r="F17" s="122" t="str">
        <f aca="false">IF(ABS(E17)&lt;0.01,"OK","CHECK")</f>
        <v>OK</v>
      </c>
      <c r="G17" s="123" t="s">
        <v>681</v>
      </c>
    </row>
    <row r="18" customFormat="false" ht="21.75" hidden="false" customHeight="true" outlineLevel="0" collapsed="false">
      <c r="A18" s="49" t="n">
        <v>12</v>
      </c>
      <c r="B18" s="70" t="s">
        <v>682</v>
      </c>
      <c r="C18" s="121" t="n">
        <f aca="false">SUMPRODUCT(--('Receipts Build'!$N$34:$N$98&gt;0))+SUMPRODUCT(--('Receipts Build'!$N$103:$N$207&gt;0))</f>
        <v>170</v>
      </c>
      <c r="D18" s="121" t="n">
        <f aca="false">170</f>
        <v>170</v>
      </c>
      <c r="E18" s="121" t="n">
        <f aca="false">C18-D18</f>
        <v>0</v>
      </c>
      <c r="F18" s="122" t="str">
        <f aca="false">IF(ABS(E18)&lt;0.01,"OK","CHECK")</f>
        <v>OK</v>
      </c>
      <c r="G18" s="123" t="s">
        <v>683</v>
      </c>
    </row>
    <row r="19" customFormat="false" ht="21.75" hidden="false" customHeight="true" outlineLevel="0" collapsed="false">
      <c r="A19" s="49" t="n">
        <v>13</v>
      </c>
      <c r="B19" s="70" t="s">
        <v>684</v>
      </c>
      <c r="C19" s="121" t="n">
        <f aca="false">SUMPRODUCT(--ISERROR('Weekly Cash Flow'!$B$9:$O$55))</f>
        <v>0</v>
      </c>
      <c r="D19" s="121" t="n">
        <f aca="false">0</f>
        <v>0</v>
      </c>
      <c r="E19" s="121" t="n">
        <f aca="false">C19-D19</f>
        <v>0</v>
      </c>
      <c r="F19" s="122" t="str">
        <f aca="false">IF(ABS(E19)&lt;0.01,"OK","CHECK")</f>
        <v>OK</v>
      </c>
      <c r="G19" s="123" t="s">
        <v>685</v>
      </c>
    </row>
    <row r="20" customFormat="false" ht="21.75" hidden="false" customHeight="true" outlineLevel="0" collapsed="false">
      <c r="A20" s="49" t="n">
        <v>14</v>
      </c>
      <c r="B20" s="70" t="s">
        <v>686</v>
      </c>
      <c r="C20" s="121" t="n">
        <f aca="false">ROUND(MIN('Weekly Cash Flow'!$B$47:$N$47),3)</f>
        <v>1194.98</v>
      </c>
      <c r="D20" s="121" t="n">
        <f aca="false">ROUND(Scenarios!$C$21,3)</f>
        <v>1194.98</v>
      </c>
      <c r="E20" s="121" t="n">
        <f aca="false">C20-D20</f>
        <v>0</v>
      </c>
      <c r="F20" s="122" t="str">
        <f aca="false">IF(ABS(E20)&lt;0.01,"OK","CHECK")</f>
        <v>OK</v>
      </c>
      <c r="G20" s="123" t="s">
        <v>687</v>
      </c>
    </row>
    <row r="21" customFormat="false" ht="21.75" hidden="false" customHeight="true" outlineLevel="0" collapsed="false">
      <c r="A21" s="49" t="n">
        <v>15</v>
      </c>
      <c r="B21" s="70" t="s">
        <v>688</v>
      </c>
      <c r="C21" s="121" t="n">
        <f aca="false">'Weekly Cash Flow'!$O$36</f>
        <v>563.880321058825</v>
      </c>
      <c r="D21" s="121" t="n">
        <f aca="false">SUM('Weekly Cash Flow'!$B$36:$N$36)</f>
        <v>563.880321058825</v>
      </c>
      <c r="E21" s="121" t="n">
        <f aca="false">C21-D21</f>
        <v>0</v>
      </c>
      <c r="F21" s="122" t="str">
        <f aca="false">IF(ABS(E21)&lt;0.01,"OK","CHECK")</f>
        <v>OK</v>
      </c>
      <c r="G21" s="123" t="s">
        <v>689</v>
      </c>
    </row>
    <row r="22" customFormat="false" ht="21.75" hidden="false" customHeight="true" outlineLevel="0" collapsed="false">
      <c r="A22" s="49" t="n">
        <v>16</v>
      </c>
      <c r="B22" s="70" t="s">
        <v>690</v>
      </c>
      <c r="C22" s="121" t="n">
        <f aca="false">IF(AND(Assumptions!$B$8&gt;=1,Assumptions!$B$8&lt;=3,Assumptions!$B$8=INT(Assumptions!$B$8)),1,0)</f>
        <v>1</v>
      </c>
      <c r="D22" s="121" t="n">
        <f aca="false">1</f>
        <v>1</v>
      </c>
      <c r="E22" s="121" t="n">
        <f aca="false">C22-D22</f>
        <v>0</v>
      </c>
      <c r="F22" s="122" t="str">
        <f aca="false">IF(ABS(E22)&lt;0.01,"OK","CHECK")</f>
        <v>OK</v>
      </c>
      <c r="G22" s="123" t="s">
        <v>691</v>
      </c>
    </row>
    <row r="24" customFormat="false" ht="25.5" hidden="false" customHeight="true" outlineLevel="0" collapsed="false">
      <c r="B24" s="90" t="s">
        <v>692</v>
      </c>
      <c r="C24" s="90"/>
      <c r="D24" s="90"/>
      <c r="E24" s="90"/>
      <c r="F24" s="90"/>
      <c r="G24" s="90"/>
    </row>
  </sheetData>
  <mergeCells count="5">
    <mergeCell ref="A1:G1"/>
    <mergeCell ref="A2:G2"/>
    <mergeCell ref="C4:D4"/>
    <mergeCell ref="E4:G4"/>
    <mergeCell ref="B24:G24"/>
  </mergeCells>
  <conditionalFormatting sqref="F7:F22">
    <cfRule type="expression" priority="2" aboveAverage="0" equalAverage="0" bottom="0" percent="0" rank="0" text="" dxfId="4">
      <formula>F7="OK"</formula>
    </cfRule>
    <cfRule type="expression" priority="3" aboveAverage="0" equalAverage="0" bottom="0" percent="0" rank="0" text="" dxfId="5">
      <formula>F7="CHECK"</formula>
    </cfRule>
  </conditionalFormatting>
  <printOptions headings="false" gridLines="false" gridLinesSet="true" horizontalCentered="false" verticalCentered="false"/>
  <pageMargins left="0.3" right="0.3" top="0.4" bottom="0.4" header="0.5" footer="0.5"/>
  <pageSetup paperSize="9" scale="100" fitToWidth="1" fitToHeight="0" pageOrder="downThenOver" orientation="portrait" blackAndWhite="false" draft="false" cellComments="none" horizontalDpi="300" verticalDpi="300" copies="1"/>
  <headerFooter differentFirst="false" differentOddEven="false">
    <oddHeader>&amp;L&amp;"Arial,Bold"&amp;9Halcyon Metalworks Kft.&amp;R&amp;"Arial,Regular"&amp;913-WEEK ROLLING CASH FLOW FORECAST</oddHeader>
    <oddFooter>&amp;L&amp;"Arial,Regular"&amp;8Illustrative sample - fictional data - prepared by Tarlan Charkasov, ACCA&amp;R&amp;"Arial,Regular"&amp;8Page &amp;P of &amp;N</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2026-07-27T13:43:24Z</dcterms:created>
  <dc:creator>openpyxl</dc:creator>
  <dc:description/>
  <dc:language>en-US</dc:language>
  <cp:lastModifiedBy/>
  <dcterms:modified xsi:type="dcterms:W3CDTF">2026-07-27T13:43:26Z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