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0.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amp; Basis" sheetId="1" state="visible" r:id="rId3"/>
    <sheet name="Assumptions" sheetId="2" state="visible" r:id="rId4"/>
    <sheet name="Chart of Accounts" sheetId="3" state="visible" r:id="rId5"/>
    <sheet name="TB Actual" sheetId="4" state="visible" r:id="rId6"/>
    <sheet name="TB Budget" sheetId="5" state="visible" r:id="rId7"/>
    <sheet name="P&amp;L Monthly" sheetId="6" state="visible" r:id="rId8"/>
    <sheet name="P&amp;L vs Budget" sheetId="7" state="visible" r:id="rId9"/>
    <sheet name="Balance Sheet" sheetId="8" state="visible" r:id="rId10"/>
    <sheet name="Cash Flow" sheetId="9" state="visible" r:id="rId11"/>
    <sheet name="KPI Dashboard" sheetId="10" state="visible" r:id="rId12"/>
    <sheet name="Commentary" sheetId="11" state="visible" r:id="rId13"/>
    <sheet name="Checks" sheetId="12" state="visible" r:id="rId14"/>
  </sheets>
  <definedNames>
    <definedName function="false" hidden="false" localSheetId="1" name="_xlnm.Print_Titles" vbProcedure="false">Assumptions!$1:$6</definedName>
    <definedName function="false" hidden="false" localSheetId="7" name="_xlnm.Print_Titles" vbProcedure="false">'Balance Sheet'!$1:$6</definedName>
    <definedName function="false" hidden="false" localSheetId="8" name="_xlnm.Print_Titles" vbProcedure="false">'Cash Flow'!$1:$6</definedName>
    <definedName function="false" hidden="false" localSheetId="2" name="_xlnm.Print_Titles" vbProcedure="false">'Chart of Accounts'!$1:$6</definedName>
    <definedName function="false" hidden="false" localSheetId="11" name="_xlnm.Print_Titles" vbProcedure="false">Checks!$1:$6</definedName>
    <definedName function="false" hidden="false" localSheetId="10" name="_xlnm.Print_Titles" vbProcedure="false">Commentary!$1:$6</definedName>
    <definedName function="false" hidden="false" localSheetId="0" name="_xlnm.Print_Titles" vbProcedure="false">'Cover &amp; Basis'!$1:$6</definedName>
    <definedName function="false" hidden="false" localSheetId="9" name="_xlnm.Print_Titles" vbProcedure="false">'KPI Dashboard'!$1:$6</definedName>
    <definedName function="false" hidden="false" localSheetId="5" name="_xlnm.Print_Titles" vbProcedure="false">'P&amp;L Monthly'!$1:$6</definedName>
    <definedName function="false" hidden="false" localSheetId="6" name="_xlnm.Print_Titles" vbProcedure="false">'P&amp;L vs Budget'!$1:$6</definedName>
    <definedName function="false" hidden="false" localSheetId="3" name="_xlnm.Print_Titles" vbProcedure="false">'TB Actual'!$1:$6</definedName>
    <definedName function="false" hidden="false" localSheetId="4" name="_xlnm.Print_Titles" vbProcedure="false">'TB Budget'!$1:$6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<sst xmlns="http://schemas.openxmlformats.org/spreadsheetml/2006/main" count="1090" uniqueCount="507">
  <si>
    <t xml:space="preserve">DANUBE CONSUMER HEALTH KFT</t>
  </si>
  <si>
    <t xml:space="preserve">MONTHLY MANAGEMENT REPORTING PACK</t>
  </si>
  <si>
    <t xml:space="preserve">Financial year ended 31 December 2025  |  Presentation currency: EUR thousands</t>
  </si>
  <si>
    <t xml:space="preserve">ENTITY PROFILE</t>
  </si>
  <si>
    <t xml:space="preserve">Legal entity</t>
  </si>
  <si>
    <t xml:space="preserve">Danube Consumer Health Kft (Hungary), wholly owned subsidiary of a CEE consumer health group</t>
  </si>
  <si>
    <t xml:space="preserve">Business model</t>
  </si>
  <si>
    <t xml:space="preserve">Import and distribution of OTC medicines, food supplements and personal care brands</t>
  </si>
  <si>
    <t xml:space="preserve">Channels</t>
  </si>
  <si>
    <t xml:space="preserve">Pharmacy (wholesale and direct), Retail &amp; FMCG chains, E-commerce (own shop and marketplaces)</t>
  </si>
  <si>
    <t xml:space="preserve">Markets</t>
  </si>
  <si>
    <t xml:space="preserve">Hungary, Romania, Slovakia, Czech Republic</t>
  </si>
  <si>
    <t xml:space="preserve">Functional currency</t>
  </si>
  <si>
    <t xml:space="preserve">EUR (group reporting currency); local-currency exposure mainly HUF and RON</t>
  </si>
  <si>
    <t xml:space="preserve">Headcount</t>
  </si>
  <si>
    <t xml:space="preserve">46 FTE at 31 December 2025</t>
  </si>
  <si>
    <t xml:space="preserve">BASIS OF PREPARATION</t>
  </si>
  <si>
    <t xml:space="preserve">Framework</t>
  </si>
  <si>
    <t xml:space="preserve">IFRS as adopted by the EU, applied to internal management reporting</t>
  </si>
  <si>
    <t xml:space="preserve">Reporting basis</t>
  </si>
  <si>
    <t xml:space="preserve">Accrual basis; revenue presented gross with trade discounts, customer rebates and returns shown as deductions to net revenue</t>
  </si>
  <si>
    <t xml:space="preserve">Leases</t>
  </si>
  <si>
    <t xml:space="preserve">IFRS 16 applied: warehouse and vehicle leases recognised as right-of-use assets with corresponding lease liabilities</t>
  </si>
  <si>
    <t xml:space="preserve">Rebates</t>
  </si>
  <si>
    <t xml:space="preserve">Customer rebates accrued monthly on contracted rates and settled quarterly</t>
  </si>
  <si>
    <t xml:space="preserve">Inventory</t>
  </si>
  <si>
    <t xml:space="preserve">Weighted average cost; obsolescence provision reviewed monthly against shelf-life reporting</t>
  </si>
  <si>
    <t xml:space="preserve">Taxation</t>
  </si>
  <si>
    <t xml:space="preserve">Hungarian corporate income tax at 9% plus local business tax; deferred tax recognised on temporary differences</t>
  </si>
  <si>
    <t xml:space="preserve">Consolidation</t>
  </si>
  <si>
    <t xml:space="preserve">Single entity - no consolidation adjustments</t>
  </si>
  <si>
    <t xml:space="preserve">HOW THIS PACK IS BUILT</t>
  </si>
  <si>
    <t xml:space="preserve">1. Source data</t>
  </si>
  <si>
    <t xml:space="preserve">Two trial balances ('TB Actual' and 'TB Budget') hold the opening balance sheet and twelve monthly movements per account, debit positive.</t>
  </si>
  <si>
    <t xml:space="preserve">2. Mapping</t>
  </si>
  <si>
    <t xml:space="preserve">Every account is mapped to a statement line once, on the 'Chart of Accounts' tab. Changing a mapping there re-points every statement.</t>
  </si>
  <si>
    <t xml:space="preserve">3. Statements</t>
  </si>
  <si>
    <t xml:space="preserve">The P&amp;L, balance sheet, cash flow and KPI tabs contain no hardcoded figures. Every line is a SUMIFS against the trial balance.</t>
  </si>
  <si>
    <t xml:space="preserve">4. Controls</t>
  </si>
  <si>
    <t xml:space="preserve">The 'Checks' tab proves the trial balance nets to zero every month, the balance sheet balances, and the cash flow reconciles to the balance sheet cash line.</t>
  </si>
  <si>
    <t xml:space="preserve">COLOUR CONVENTION</t>
  </si>
  <si>
    <t xml:space="preserve">Blue text</t>
  </si>
  <si>
    <t xml:space="preserve">Hardcoded input - source data and assumptions</t>
  </si>
  <si>
    <t xml:space="preserve">Black text</t>
  </si>
  <si>
    <t xml:space="preserve">Formula calculated on the same sheet</t>
  </si>
  <si>
    <t xml:space="preserve">Green text</t>
  </si>
  <si>
    <t xml:space="preserve">Formula linked to another sheet in this workbook</t>
  </si>
  <si>
    <t xml:space="preserve">Yellow fill</t>
  </si>
  <si>
    <t xml:space="preserve">Key assumption or control cell</t>
  </si>
  <si>
    <t xml:space="preserve">IMPORTANT NOTE</t>
  </si>
  <si>
    <t xml:space="preserve">Synthetic data</t>
  </si>
  <si>
    <t xml:space="preserve">Danube Consumer Health Kft is a fictional company. Every figure in this workbook was generated for portfolio purposes. No client, employer or third-party data of any kind has been used.</t>
  </si>
  <si>
    <t xml:space="preserve">CONTENTS</t>
  </si>
  <si>
    <t xml:space="preserve">Assumptions</t>
  </si>
  <si>
    <t xml:space="preserve">Commercial, cost and working capital drivers behind the figures</t>
  </si>
  <si>
    <t xml:space="preserve">Chart of Accounts</t>
  </si>
  <si>
    <t xml:space="preserve">Account codes, names and the statement line each one maps to</t>
  </si>
  <si>
    <t xml:space="preserve">TB Actual / TB Budget</t>
  </si>
  <si>
    <t xml:space="preserve">Trial balance source data - opening balance plus twelve monthly movements</t>
  </si>
  <si>
    <t xml:space="preserve">P&amp;L Monthly</t>
  </si>
  <si>
    <t xml:space="preserve">Income statement by month with full-year total and margin analysis</t>
  </si>
  <si>
    <t xml:space="preserve">P&amp;L vs Budget</t>
  </si>
  <si>
    <t xml:space="preserve">December and full-year actual against budget, in euro and percent</t>
  </si>
  <si>
    <t xml:space="preserve">Balance Sheet</t>
  </si>
  <si>
    <t xml:space="preserve">Month-end balance sheet from the opening position to December</t>
  </si>
  <si>
    <t xml:space="preserve">Cash Flow</t>
  </si>
  <si>
    <t xml:space="preserve">Indirect-method cash flow by month, reconciled to the balance sheet cash line</t>
  </si>
  <si>
    <t xml:space="preserve">KPI Dashboard</t>
  </si>
  <si>
    <t xml:space="preserve">Margins, working capital days, cash conversion cycle, net debt and channel mix</t>
  </si>
  <si>
    <t xml:space="preserve">Commentary</t>
  </si>
  <si>
    <t xml:space="preserve">Management commentary on full-year performance against budget</t>
  </si>
  <si>
    <t xml:space="preserve">Checks</t>
  </si>
  <si>
    <t xml:space="preserve">Control panel - every integrity check in one place</t>
  </si>
  <si>
    <t xml:space="preserve">Drivers used to build the trial balance. Blue cells are inputs.</t>
  </si>
  <si>
    <t xml:space="preserve">COMMERCIAL</t>
  </si>
  <si>
    <t xml:space="preserve">Gross product sales - actual</t>
  </si>
  <si>
    <t xml:space="preserve">EUR '000</t>
  </si>
  <si>
    <t xml:space="preserve">Full-year gross invoiced sales before deductions</t>
  </si>
  <si>
    <t xml:space="preserve">Gross product sales - budget</t>
  </si>
  <si>
    <t xml:space="preserve">Budget approved November 2024</t>
  </si>
  <si>
    <t xml:space="preserve">Pharmacy channel share</t>
  </si>
  <si>
    <t xml:space="preserve">Share of non e-commerce sales</t>
  </si>
  <si>
    <t xml:space="preserve">Retail &amp; FMCG channel share</t>
  </si>
  <si>
    <t xml:space="preserve">E-commerce share - January</t>
  </si>
  <si>
    <t xml:space="preserve">Ramps through the year as own-shop traffic builds</t>
  </si>
  <si>
    <t xml:space="preserve">E-commerce share - December</t>
  </si>
  <si>
    <t xml:space="preserve">Trade discounts</t>
  </si>
  <si>
    <t xml:space="preserve">% gross sales</t>
  </si>
  <si>
    <t xml:space="preserve">Invoice-level discounts to wholesalers</t>
  </si>
  <si>
    <t xml:space="preserve">Customer rebates - H1</t>
  </si>
  <si>
    <t xml:space="preserve">Contracted volume rebates, accrued monthly</t>
  </si>
  <si>
    <t xml:space="preserve">Customer rebates - H2</t>
  </si>
  <si>
    <t xml:space="preserve">Step-up from July following pharmacy chain renegotiation</t>
  </si>
  <si>
    <t xml:space="preserve">Returns &amp; credit notes</t>
  </si>
  <si>
    <t xml:space="preserve">Short-dated stock returns and pricing credits</t>
  </si>
  <si>
    <t xml:space="preserve">COST STRUCTURE (% of net revenue unless stated)</t>
  </si>
  <si>
    <t xml:space="preserve">Product cost</t>
  </si>
  <si>
    <t xml:space="preserve">Landed purchase cost from group and third-party suppliers</t>
  </si>
  <si>
    <t xml:space="preserve">Inbound freight &amp; duties</t>
  </si>
  <si>
    <t xml:space="preserve">Inventory write-offs &amp; obsolescence</t>
  </si>
  <si>
    <t xml:space="preserve">Weighted to June and November shelf-life reviews</t>
  </si>
  <si>
    <t xml:space="preserve">A&amp;P - media &amp; digital</t>
  </si>
  <si>
    <t xml:space="preserve">Weighted to the September-December launch window</t>
  </si>
  <si>
    <t xml:space="preserve">A&amp;P - trade promotions &amp; POS</t>
  </si>
  <si>
    <t xml:space="preserve">Medical &amp; regulatory affairs</t>
  </si>
  <si>
    <t xml:space="preserve">Spread evenly</t>
  </si>
  <si>
    <t xml:space="preserve">Warehousing (3PL) - full year</t>
  </si>
  <si>
    <t xml:space="preserve">70% fixed storage fee, 30% variable with volume</t>
  </si>
  <si>
    <t xml:space="preserve">Outbound freight</t>
  </si>
  <si>
    <t xml:space="preserve">Personnel - commercial - full year</t>
  </si>
  <si>
    <t xml:space="preserve">Eleven equal months plus a December bonus month</t>
  </si>
  <si>
    <t xml:space="preserve">Personnel - G&amp;A - full year</t>
  </si>
  <si>
    <t xml:space="preserve">IT &amp; software - full year</t>
  </si>
  <si>
    <t xml:space="preserve">Professional fees - full year</t>
  </si>
  <si>
    <t xml:space="preserve">Weighted to the February-March audit</t>
  </si>
  <si>
    <t xml:space="preserve">Facilities &amp; other - full year</t>
  </si>
  <si>
    <t xml:space="preserve">CAPITAL, FINANCING AND TAX</t>
  </si>
  <si>
    <t xml:space="preserve">Depreciation - PP&amp;E per month</t>
  </si>
  <si>
    <t xml:space="preserve">Straight line on warehouse fixtures and equipment</t>
  </si>
  <si>
    <t xml:space="preserve">Depreciation - right-of-use per month</t>
  </si>
  <si>
    <t xml:space="preserve">IFRS 16 warehouse and fleet leases</t>
  </si>
  <si>
    <t xml:space="preserve">Amortisation - intangibles per month</t>
  </si>
  <si>
    <t xml:space="preserve">Brand licences and software</t>
  </si>
  <si>
    <t xml:space="preserve">Capex - PP&amp;E per month</t>
  </si>
  <si>
    <t xml:space="preserve">Plus a 180 warehouse management system upgrade in August</t>
  </si>
  <si>
    <t xml:space="preserve">Capex - intangibles (April)</t>
  </si>
  <si>
    <t xml:space="preserve">Regulatory dossier acquisition</t>
  </si>
  <si>
    <t xml:space="preserve">Lease payment per month</t>
  </si>
  <si>
    <t xml:space="preserve">Split between interest and principal</t>
  </si>
  <si>
    <t xml:space="preserve">Lease liability interest rate</t>
  </si>
  <si>
    <t xml:space="preserve">p.a.</t>
  </si>
  <si>
    <t xml:space="preserve">Incremental borrowing rate</t>
  </si>
  <si>
    <t xml:space="preserve">Bank loan interest rate</t>
  </si>
  <si>
    <t xml:space="preserve">Floating, EURIBOR linked</t>
  </si>
  <si>
    <t xml:space="preserve">Bank loan repayment per quarter</t>
  </si>
  <si>
    <t xml:space="preserve">Amortising term loan</t>
  </si>
  <si>
    <t xml:space="preserve">Dividend paid to parent (June)</t>
  </si>
  <si>
    <t xml:space="preserve">Declared on FY2024 result</t>
  </si>
  <si>
    <t xml:space="preserve">Corporate income tax rate</t>
  </si>
  <si>
    <t xml:space="preserve">Hungarian CIT</t>
  </si>
  <si>
    <t xml:space="preserve">Local business tax rate</t>
  </si>
  <si>
    <t xml:space="preserve">Applied to a restricted base</t>
  </si>
  <si>
    <t xml:space="preserve">WORKING CAPITAL</t>
  </si>
  <si>
    <t xml:space="preserve">Debtor days (DSO) - January</t>
  </si>
  <si>
    <t xml:space="preserve">days</t>
  </si>
  <si>
    <t xml:space="preserve">Improves through the year on tighter collections</t>
  </si>
  <si>
    <t xml:space="preserve">Debtor days (DSO) - December</t>
  </si>
  <si>
    <t xml:space="preserve">Inventory days (DIO) - January</t>
  </si>
  <si>
    <t xml:space="preserve">Improves as slow-moving SKUs are delisted</t>
  </si>
  <si>
    <t xml:space="preserve">Inventory days (DIO) - December</t>
  </si>
  <si>
    <t xml:space="preserve">Creditor days (DPO) - January</t>
  </si>
  <si>
    <t xml:space="preserve">Extended terms renegotiated with two suppliers</t>
  </si>
  <si>
    <t xml:space="preserve">Creditor days (DPO) - December</t>
  </si>
  <si>
    <t xml:space="preserve">SEASONALITY INDEX (12 months = 12.00)</t>
  </si>
  <si>
    <t xml:space="preserve">Jan-25</t>
  </si>
  <si>
    <t xml:space="preserve">Feb-25</t>
  </si>
  <si>
    <t xml:space="preserve">Mar-25</t>
  </si>
  <si>
    <t xml:space="preserve">Apr-25</t>
  </si>
  <si>
    <t xml:space="preserve">May-25</t>
  </si>
  <si>
    <t xml:space="preserve">Jun-25</t>
  </si>
  <si>
    <t xml:space="preserve">Jul-25</t>
  </si>
  <si>
    <t xml:space="preserve">Aug-25</t>
  </si>
  <si>
    <t xml:space="preserve">Sep-25</t>
  </si>
  <si>
    <t xml:space="preserve">Oct-25</t>
  </si>
  <si>
    <t xml:space="preserve">Nov-25</t>
  </si>
  <si>
    <t xml:space="preserve">Dec-25</t>
  </si>
  <si>
    <t xml:space="preserve">Actual</t>
  </si>
  <si>
    <t xml:space="preserve">Budget</t>
  </si>
  <si>
    <t xml:space="preserve">Cold &amp; flu season drives a Q1 and Q4 peak; July is the trough.</t>
  </si>
  <si>
    <t xml:space="preserve">One mapping row per account. The statement tabs read column D.</t>
  </si>
  <si>
    <t xml:space="preserve">Code</t>
  </si>
  <si>
    <t xml:space="preserve">Account name</t>
  </si>
  <si>
    <t xml:space="preserve">Statement line</t>
  </si>
  <si>
    <t xml:space="preserve">Statement / category</t>
  </si>
  <si>
    <t xml:space="preserve">Type</t>
  </si>
  <si>
    <t xml:space="preserve">1110</t>
  </si>
  <si>
    <t xml:space="preserve">Brand licences &amp; software - cost</t>
  </si>
  <si>
    <t xml:space="preserve">Intangible assets</t>
  </si>
  <si>
    <t xml:space="preserve">Non-current assets</t>
  </si>
  <si>
    <t xml:space="preserve">A</t>
  </si>
  <si>
    <t xml:space="preserve">1115</t>
  </si>
  <si>
    <t xml:space="preserve">Brand licences &amp; software - accumulated amortisation</t>
  </si>
  <si>
    <t xml:space="preserve">1210</t>
  </si>
  <si>
    <t xml:space="preserve">Property, plant &amp; equipment - cost</t>
  </si>
  <si>
    <t xml:space="preserve">Property, plant &amp; equipment</t>
  </si>
  <si>
    <t xml:space="preserve">1215</t>
  </si>
  <si>
    <t xml:space="preserve">Property, plant &amp; equipment - accumulated depreciation</t>
  </si>
  <si>
    <t xml:space="preserve">1310</t>
  </si>
  <si>
    <t xml:space="preserve">Right-of-use assets - cost</t>
  </si>
  <si>
    <t xml:space="preserve">Right-of-use assets</t>
  </si>
  <si>
    <t xml:space="preserve">1315</t>
  </si>
  <si>
    <t xml:space="preserve">Right-of-use assets - accumulated depreciation</t>
  </si>
  <si>
    <t xml:space="preserve">1410</t>
  </si>
  <si>
    <t xml:space="preserve">Deferred tax asset</t>
  </si>
  <si>
    <t xml:space="preserve">2110</t>
  </si>
  <si>
    <t xml:space="preserve">Inventory - finished goods</t>
  </si>
  <si>
    <t xml:space="preserve">Inventories</t>
  </si>
  <si>
    <t xml:space="preserve">Current assets</t>
  </si>
  <si>
    <t xml:space="preserve">2190</t>
  </si>
  <si>
    <t xml:space="preserve">Inventory provision - obsolescence</t>
  </si>
  <si>
    <t xml:space="preserve">2310</t>
  </si>
  <si>
    <t xml:space="preserve">Trade receivables - gross</t>
  </si>
  <si>
    <t xml:space="preserve">Trade receivables</t>
  </si>
  <si>
    <t xml:space="preserve">2320</t>
  </si>
  <si>
    <t xml:space="preserve">Allowance for expected credit losses</t>
  </si>
  <si>
    <t xml:space="preserve">2410</t>
  </si>
  <si>
    <t xml:space="preserve">Other receivables &amp; prepayments</t>
  </si>
  <si>
    <t xml:space="preserve">2910</t>
  </si>
  <si>
    <t xml:space="preserve">Cash at bank</t>
  </si>
  <si>
    <t xml:space="preserve">Cash and cash equivalents</t>
  </si>
  <si>
    <t xml:space="preserve">3110</t>
  </si>
  <si>
    <t xml:space="preserve">Trade payables</t>
  </si>
  <si>
    <t xml:space="preserve">Current liabilities</t>
  </si>
  <si>
    <t xml:space="preserve">L</t>
  </si>
  <si>
    <t xml:space="preserve">3210</t>
  </si>
  <si>
    <t xml:space="preserve">Accrued customer rebates</t>
  </si>
  <si>
    <t xml:space="preserve">3220</t>
  </si>
  <si>
    <t xml:space="preserve">Accrued advertising &amp; promotion</t>
  </si>
  <si>
    <t xml:space="preserve">Other accruals &amp; provisions</t>
  </si>
  <si>
    <t xml:space="preserve">3230</t>
  </si>
  <si>
    <t xml:space="preserve">Accrued personnel costs</t>
  </si>
  <si>
    <t xml:space="preserve">3240</t>
  </si>
  <si>
    <t xml:space="preserve">3310</t>
  </si>
  <si>
    <t xml:space="preserve">Lease liability - current</t>
  </si>
  <si>
    <t xml:space="preserve">Lease liabilities - current</t>
  </si>
  <si>
    <t xml:space="preserve">3410</t>
  </si>
  <si>
    <t xml:space="preserve">Bank loan - current portion</t>
  </si>
  <si>
    <t xml:space="preserve">Borrowings - current</t>
  </si>
  <si>
    <t xml:space="preserve">3510</t>
  </si>
  <si>
    <t xml:space="preserve">Corporate income tax payable</t>
  </si>
  <si>
    <t xml:space="preserve">Current tax payable</t>
  </si>
  <si>
    <t xml:space="preserve">3520</t>
  </si>
  <si>
    <t xml:space="preserve">VAT &amp; other tax payables</t>
  </si>
  <si>
    <t xml:space="preserve">Other payables</t>
  </si>
  <si>
    <t xml:space="preserve">3610</t>
  </si>
  <si>
    <t xml:space="preserve">Intercompany payable - parent</t>
  </si>
  <si>
    <t xml:space="preserve">3320</t>
  </si>
  <si>
    <t xml:space="preserve">Lease liability - non-current</t>
  </si>
  <si>
    <t xml:space="preserve">Lease liabilities - non-current</t>
  </si>
  <si>
    <t xml:space="preserve">Non-current liabilities</t>
  </si>
  <si>
    <t xml:space="preserve">3420</t>
  </si>
  <si>
    <t xml:space="preserve">Bank loan - non-current portion</t>
  </si>
  <si>
    <t xml:space="preserve">Borrowings - non-current</t>
  </si>
  <si>
    <t xml:space="preserve">5110</t>
  </si>
  <si>
    <t xml:space="preserve">Share capital</t>
  </si>
  <si>
    <t xml:space="preserve">Equity</t>
  </si>
  <si>
    <t xml:space="preserve">E</t>
  </si>
  <si>
    <t xml:space="preserve">5210</t>
  </si>
  <si>
    <t xml:space="preserve">Retained earnings brought forward</t>
  </si>
  <si>
    <t xml:space="preserve">6110</t>
  </si>
  <si>
    <t xml:space="preserve">Gross product sales - Pharmacy channel</t>
  </si>
  <si>
    <t xml:space="preserve">Gross product sales</t>
  </si>
  <si>
    <t xml:space="preserve">Revenue</t>
  </si>
  <si>
    <t xml:space="preserve">P</t>
  </si>
  <si>
    <t xml:space="preserve">6120</t>
  </si>
  <si>
    <t xml:space="preserve">Gross product sales - Retail &amp; FMCG channel</t>
  </si>
  <si>
    <t xml:space="preserve">6130</t>
  </si>
  <si>
    <t xml:space="preserve">Gross product sales - E-commerce channel</t>
  </si>
  <si>
    <t xml:space="preserve">6210</t>
  </si>
  <si>
    <t xml:space="preserve">6220</t>
  </si>
  <si>
    <t xml:space="preserve">Customer rebates</t>
  </si>
  <si>
    <t xml:space="preserve">6230</t>
  </si>
  <si>
    <t xml:space="preserve">7110</t>
  </si>
  <si>
    <t xml:space="preserve">Cost of goods sold - product cost</t>
  </si>
  <si>
    <t xml:space="preserve">Cost of sales</t>
  </si>
  <si>
    <t xml:space="preserve">7120</t>
  </si>
  <si>
    <t xml:space="preserve">Cost of goods sold - inbound freight &amp; duties</t>
  </si>
  <si>
    <t xml:space="preserve">7130</t>
  </si>
  <si>
    <t xml:space="preserve">Inventory write-offs</t>
  </si>
  <si>
    <t xml:space="preserve">7210</t>
  </si>
  <si>
    <t xml:space="preserve">Operating expenses</t>
  </si>
  <si>
    <t xml:space="preserve">7220</t>
  </si>
  <si>
    <t xml:space="preserve">A&amp;P - trade &amp; POS</t>
  </si>
  <si>
    <t xml:space="preserve">7230</t>
  </si>
  <si>
    <t xml:space="preserve">A&amp;P - medical &amp; regulatory affairs</t>
  </si>
  <si>
    <t xml:space="preserve">7310</t>
  </si>
  <si>
    <t xml:space="preserve">Distribution - 3PL warehousing</t>
  </si>
  <si>
    <t xml:space="preserve">Warehousing (3PL)</t>
  </si>
  <si>
    <t xml:space="preserve">7320</t>
  </si>
  <si>
    <t xml:space="preserve">Distribution - outbound freight</t>
  </si>
  <si>
    <t xml:space="preserve">7410</t>
  </si>
  <si>
    <t xml:space="preserve">Personnel costs - sales &amp; marketing</t>
  </si>
  <si>
    <t xml:space="preserve">Personnel - commercial</t>
  </si>
  <si>
    <t xml:space="preserve">7420</t>
  </si>
  <si>
    <t xml:space="preserve">Personnel costs - general &amp; administrative</t>
  </si>
  <si>
    <t xml:space="preserve">Personnel - G&amp;A</t>
  </si>
  <si>
    <t xml:space="preserve">7510</t>
  </si>
  <si>
    <t xml:space="preserve">G&amp;A - IT &amp; software</t>
  </si>
  <si>
    <t xml:space="preserve">IT &amp; software</t>
  </si>
  <si>
    <t xml:space="preserve">7520</t>
  </si>
  <si>
    <t xml:space="preserve">G&amp;A - professional fees</t>
  </si>
  <si>
    <t xml:space="preserve">Professional fees</t>
  </si>
  <si>
    <t xml:space="preserve">7530</t>
  </si>
  <si>
    <t xml:space="preserve">G&amp;A - facilities &amp; other</t>
  </si>
  <si>
    <t xml:space="preserve">Facilities &amp; other overheads</t>
  </si>
  <si>
    <t xml:space="preserve">7610</t>
  </si>
  <si>
    <t xml:space="preserve">Depreciation - property, plant &amp; equipment</t>
  </si>
  <si>
    <t xml:space="preserve">Depreciation - PP&amp;E</t>
  </si>
  <si>
    <t xml:space="preserve">Depreciation &amp; amortisation</t>
  </si>
  <si>
    <t xml:space="preserve">7620</t>
  </si>
  <si>
    <t xml:space="preserve">Depreciation - right-of-use assets</t>
  </si>
  <si>
    <t xml:space="preserve">7630</t>
  </si>
  <si>
    <t xml:space="preserve">Amortisation - intangible assets</t>
  </si>
  <si>
    <t xml:space="preserve">Amortisation - intangibles</t>
  </si>
  <si>
    <t xml:space="preserve">8110</t>
  </si>
  <si>
    <t xml:space="preserve">Interest expense - bank borrowings</t>
  </si>
  <si>
    <t xml:space="preserve">Interest expense - borrowings</t>
  </si>
  <si>
    <t xml:space="preserve">Finance result</t>
  </si>
  <si>
    <t xml:space="preserve">8120</t>
  </si>
  <si>
    <t xml:space="preserve">Interest expense - lease liabilities</t>
  </si>
  <si>
    <t xml:space="preserve">Interest expense - leases</t>
  </si>
  <si>
    <t xml:space="preserve">8130</t>
  </si>
  <si>
    <t xml:space="preserve">Foreign exchange result, net</t>
  </si>
  <si>
    <t xml:space="preserve">8210</t>
  </si>
  <si>
    <t xml:space="preserve">Corporate income tax - current</t>
  </si>
  <si>
    <t xml:space="preserve">Current income tax</t>
  </si>
  <si>
    <t xml:space="preserve">Income tax</t>
  </si>
  <si>
    <t xml:space="preserve">8220</t>
  </si>
  <si>
    <t xml:space="preserve">Corporate income tax - deferred</t>
  </si>
  <si>
    <t xml:space="preserve">Deferred income tax</t>
  </si>
  <si>
    <t xml:space="preserve">54 accounts. Type: A = asset, L = liability, E = equity, P = profit or loss.</t>
  </si>
  <si>
    <t xml:space="preserve">Trial Balance - Actual</t>
  </si>
  <si>
    <t xml:space="preserve">Debit positive. Opening balance at 1 January 2025 plus twelve monthly movements. EUR '000.</t>
  </si>
  <si>
    <t xml:space="preserve">SOURCE DATA - hardcoded (blue). Statement line in column D is linked to the Chart of Accounts.</t>
  </si>
  <si>
    <t xml:space="preserve">Opening
01-Jan-25</t>
  </si>
  <si>
    <t xml:space="preserve">Closing
31-Dec-25</t>
  </si>
  <si>
    <t xml:space="preserve">Total - must be nil (double entry check)</t>
  </si>
  <si>
    <t xml:space="preserve">Shaded rows are profit and loss accounts; unshaded rows are balance sheet accounts.</t>
  </si>
  <si>
    <t xml:space="preserve">Closing column for a P&amp;L account is the full-year charge; for a balance sheet account it is the 31-Dec-25 balance.</t>
  </si>
  <si>
    <t xml:space="preserve">Trial Balance - Budget</t>
  </si>
  <si>
    <t xml:space="preserve">Income Statement - Monthly Actual</t>
  </si>
  <si>
    <t xml:space="preserve">EUR '000. Every figure is a SUMIFS against the 'TB Actual' trial balance.</t>
  </si>
  <si>
    <t xml:space="preserve">FY 2025</t>
  </si>
  <si>
    <t xml:space="preserve">REVENUE</t>
  </si>
  <si>
    <t xml:space="preserve">Net revenue</t>
  </si>
  <si>
    <t xml:space="preserve">COST OF SALES</t>
  </si>
  <si>
    <t xml:space="preserve">Gross profit</t>
  </si>
  <si>
    <t xml:space="preserve">OPERATING EXPENSES</t>
  </si>
  <si>
    <t xml:space="preserve">EBITDA</t>
  </si>
  <si>
    <t xml:space="preserve">DEPRECIATION &amp; AMORTISATION</t>
  </si>
  <si>
    <t xml:space="preserve">EBIT</t>
  </si>
  <si>
    <t xml:space="preserve">FINANCE RESULT</t>
  </si>
  <si>
    <t xml:space="preserve">Profit before tax</t>
  </si>
  <si>
    <t xml:space="preserve">INCOME TAX</t>
  </si>
  <si>
    <t xml:space="preserve">Profit for the period</t>
  </si>
  <si>
    <t xml:space="preserve">MARGIN ANALYSIS (% of net revenue)</t>
  </si>
  <si>
    <t xml:space="preserve">    Gross margin</t>
  </si>
  <si>
    <t xml:space="preserve">    EBITDA margin</t>
  </si>
  <si>
    <t xml:space="preserve">    EBIT margin</t>
  </si>
  <si>
    <t xml:space="preserve">    Net margin</t>
  </si>
  <si>
    <t xml:space="preserve">Revenue is shown positive and costs negative, so each subtotal is a simple sum of the block above it.</t>
  </si>
  <si>
    <t xml:space="preserve">Income Statement - Actual vs Budget</t>
  </si>
  <si>
    <t xml:space="preserve">EUR '000. December in isolation and the full year, against the budget approved in November 2024.</t>
  </si>
  <si>
    <t xml:space="preserve">DECEMBER 2025</t>
  </si>
  <si>
    <t xml:space="preserve">FULL YEAR 2025</t>
  </si>
  <si>
    <t xml:space="preserve">FY % OF NET REVENUE</t>
  </si>
  <si>
    <t xml:space="preserve">Variance</t>
  </si>
  <si>
    <t xml:space="preserve">Var %</t>
  </si>
  <si>
    <t xml:space="preserve">A positive variance is favourable to profit throughout: costs are carried as negative figures, so an underspend reads positive.</t>
  </si>
  <si>
    <t xml:space="preserve">Balance Sheet - Month End</t>
  </si>
  <si>
    <t xml:space="preserve">EUR '000. Each month rolls the prior column forward by that month's trial balance movement.</t>
  </si>
  <si>
    <t xml:space="preserve">01-Jan-25</t>
  </si>
  <si>
    <t xml:space="preserve">NON-CURRENT ASSETS</t>
  </si>
  <si>
    <t xml:space="preserve">Total non-current assets</t>
  </si>
  <si>
    <t xml:space="preserve">CURRENT ASSETS</t>
  </si>
  <si>
    <t xml:space="preserve">Total current assets</t>
  </si>
  <si>
    <t xml:space="preserve">TOTAL ASSETS</t>
  </si>
  <si>
    <t xml:space="preserve">CURRENT LIABILITIES</t>
  </si>
  <si>
    <t xml:space="preserve">Total current liabilities</t>
  </si>
  <si>
    <t xml:space="preserve">NON-CURRENT LIABILITIES</t>
  </si>
  <si>
    <t xml:space="preserve">Total non-current liabilities</t>
  </si>
  <si>
    <t xml:space="preserve">EQUITY</t>
  </si>
  <si>
    <t xml:space="preserve">Result for the period</t>
  </si>
  <si>
    <t xml:space="preserve">Total equity</t>
  </si>
  <si>
    <t xml:space="preserve">TOTAL EQUITY AND LIABILITIES</t>
  </si>
  <si>
    <t xml:space="preserve">Balance check (must be nil)</t>
  </si>
  <si>
    <t xml:space="preserve">'Result for the period' accumulates the monthly profit from the P&amp;L; retained earnings brought forward moves only for the June dividend.</t>
  </si>
  <si>
    <t xml:space="preserve">Cash Flow Statement - Indirect Method</t>
  </si>
  <si>
    <t xml:space="preserve">EUR '000. Built entirely from trial balance movements, so it reconciles to the balance sheet by construction.</t>
  </si>
  <si>
    <t xml:space="preserve">OPERATING ACTIVITIES</t>
  </si>
  <si>
    <t xml:space="preserve">Change in inventories</t>
  </si>
  <si>
    <t xml:space="preserve">Change in trade receivables</t>
  </si>
  <si>
    <t xml:space="preserve">Change in other receivables &amp; prepayments</t>
  </si>
  <si>
    <t xml:space="preserve">Change in trade payables</t>
  </si>
  <si>
    <t xml:space="preserve">Change in accrued customer rebates</t>
  </si>
  <si>
    <t xml:space="preserve">Change in other accruals &amp; provisions</t>
  </si>
  <si>
    <t xml:space="preserve">Change in accrued personnel costs</t>
  </si>
  <si>
    <t xml:space="preserve">Change in other payables</t>
  </si>
  <si>
    <t xml:space="preserve">Change in current tax payable</t>
  </si>
  <si>
    <t xml:space="preserve">Change in deferred tax asset</t>
  </si>
  <si>
    <t xml:space="preserve">Net cash from operating activities</t>
  </si>
  <si>
    <t xml:space="preserve">INVESTING ACTIVITIES</t>
  </si>
  <si>
    <t xml:space="preserve">Purchase of property, plant &amp; equipment</t>
  </si>
  <si>
    <t xml:space="preserve">Purchase of intangible assets</t>
  </si>
  <si>
    <t xml:space="preserve">Net cash used in investing activities</t>
  </si>
  <si>
    <t xml:space="preserve">FINANCING ACTIVITIES</t>
  </si>
  <si>
    <t xml:space="preserve">Repayment of bank borrowings</t>
  </si>
  <si>
    <t xml:space="preserve">Payment of lease liabilities</t>
  </si>
  <si>
    <t xml:space="preserve">Dividend paid to parent</t>
  </si>
  <si>
    <t xml:space="preserve">Share capital movements</t>
  </si>
  <si>
    <t xml:space="preserve">Net cash from financing activities</t>
  </si>
  <si>
    <t xml:space="preserve">NET MOVEMENT IN CASH</t>
  </si>
  <si>
    <t xml:space="preserve">Cash at beginning of period</t>
  </si>
  <si>
    <t xml:space="preserve">Cash at end of period</t>
  </si>
  <si>
    <t xml:space="preserve">Check: closing cash per cash flow less balance sheet (must be nil)</t>
  </si>
  <si>
    <t xml:space="preserve">Note 1  Interest and income tax paid are presented within operating activities.</t>
  </si>
  <si>
    <t xml:space="preserve">Note 2  Right-of-use assets of 350 recognised on the October fleet renewal are non-cash. They are netted within the lease liability line rather than shown as investing outflow, per IFRS 16.</t>
  </si>
  <si>
    <t xml:space="preserve">EUR '000 unless stated. Working capital days use trailing three-month activity annualised.</t>
  </si>
  <si>
    <t xml:space="preserve">PROFITABILITY</t>
  </si>
  <si>
    <t xml:space="preserve">Gross margin %</t>
  </si>
  <si>
    <t xml:space="preserve">EBITDA margin %</t>
  </si>
  <si>
    <t xml:space="preserve">CHANNEL MIX (gross sales)</t>
  </si>
  <si>
    <t xml:space="preserve">Pharmacy</t>
  </si>
  <si>
    <t xml:space="preserve">Retail &amp; FMCG</t>
  </si>
  <si>
    <t xml:space="preserve">E-commerce</t>
  </si>
  <si>
    <t xml:space="preserve">Pharmacy %</t>
  </si>
  <si>
    <t xml:space="preserve">Retail &amp; FMCG %</t>
  </si>
  <si>
    <t xml:space="preserve">E-commerce %</t>
  </si>
  <si>
    <t xml:space="preserve">Net working capital</t>
  </si>
  <si>
    <t xml:space="preserve">Debtor days (DSO)</t>
  </si>
  <si>
    <t xml:space="preserve">Inventory days (DIO)</t>
  </si>
  <si>
    <t xml:space="preserve">Creditor days (DPO)</t>
  </si>
  <si>
    <t xml:space="preserve">Cash conversion cycle (days)</t>
  </si>
  <si>
    <t xml:space="preserve">LIQUIDITY AND LEVERAGE</t>
  </si>
  <si>
    <t xml:space="preserve">Gross debt (borrowings and leases)</t>
  </si>
  <si>
    <t xml:space="preserve">Net debt</t>
  </si>
  <si>
    <t xml:space="preserve">Net debt / LTM EBITDA (x)</t>
  </si>
  <si>
    <t xml:space="preserve">Current ratio (x)</t>
  </si>
  <si>
    <t xml:space="preserve">Equity ratio (%)</t>
  </si>
  <si>
    <t xml:space="preserve">Full-year column shows the December closing position for balance sheet measures and the twelve-month figure for flow measures.</t>
  </si>
  <si>
    <t xml:space="preserve">Management Commentary</t>
  </si>
  <si>
    <t xml:space="preserve">Full year 2025 against budget. Figures in EUR thousands unless stated.</t>
  </si>
  <si>
    <t xml:space="preserve">Key figures</t>
  </si>
  <si>
    <t xml:space="preserve">EBIT margin %</t>
  </si>
  <si>
    <t xml:space="preserve">Closing cash</t>
  </si>
  <si>
    <t xml:space="preserve">Opening cash</t>
  </si>
  <si>
    <t xml:space="preserve">Operating cash flow</t>
  </si>
  <si>
    <t xml:space="preserve">Total assets at 31-Dec-25</t>
  </si>
  <si>
    <t xml:space="preserve">Total equity at 31-Dec-25</t>
  </si>
  <si>
    <t xml:space="preserve">1. HEADLINE</t>
  </si>
  <si>
    <t xml:space="preserve">The company delivered net revenue of 37.8m and EBITDA of 4.3m for FY2025, an EBITDA margin of 11.4%. Both fell short of budget: net revenue by 0.9m (-2.4%) and EBITDA by 0.5m (-10.6%). Profit for the period of 2.6m was 0.5m below plan.</t>
  </si>
  <si>
    <t xml:space="preserve">The shortfall is almost entirely a gross profit story. Revenue missed by 0.9m and gross margin came in 80 basis points below plan, together costing 0.7m of gross profit. Operating cost discipline recovered only 0.2m of that, and the balance flowed through to the bottom line.</t>
  </si>
  <si>
    <t xml:space="preserve">The cash position ended the year stronger than planned. Closing cash of 3.6m was 0.7m above the opening position despite a 1.2m dividend and 1.0m of debt repayment, funded by a genuine improvement in working capital rather than by deferring spend.</t>
  </si>
  <si>
    <t xml:space="preserve">2. REVENUE</t>
  </si>
  <si>
    <t xml:space="preserve">Gross product sales of 41.2m were 0.8m (-1.9%) below budget. The miss is concentrated in the summer trough: May to August delivered materially less volume than planned, and the cold and flu season that opened the year, while strong, did not carry enough surplus to cover it.</t>
  </si>
  <si>
    <t xml:space="preserve">Deductions from gross to net were worse than plan on every line. Customer rebates of 1.8m exceeded budget by 0.1m, driven by the July renegotiation with the two largest pharmacy chains, which lifted the contracted rebate rate from 3.9% to 4.6% of gross sales for the second half. This was a deliberate trade: shelf space and guaranteed listings in exchange for margin. Trade discounts and returns were each marginally above plan.</t>
  </si>
  <si>
    <t xml:space="preserve">The channel mix continued to shift. E-commerce grew from 7.0% of gross sales in January to 13.0% in December, ahead of plan, while the pharmacy channel held at roughly 60% of the non e-commerce base. E-commerce growth is welcome for reach but is dilutive at the gross margin line, which explains part of the margin variance below.</t>
  </si>
  <si>
    <t xml:space="preserve">3. GROSS MARGIN</t>
  </si>
  <si>
    <t xml:space="preserve">Gross margin of 39.2% was 80 basis points below the 40.0% budget, a 0.7m gross profit shortfall.</t>
  </si>
  <si>
    <t xml:space="preserve">Roughly half of that is mix and rate: the higher rebate rate in the second half and the faster growth of the lower-margin e-commerce channel. Product cost itself performed well, coming in 0.4m favourable against budget on lower volume, and inbound freight landed exactly on plan.</t>
  </si>
  <si>
    <t xml:space="preserve">The remainder is inventory write-offs of 0.34m against a 0.23m budget, an unfavourable variance of 0.11m. The June and November shelf-life reviews cleared a block of slow-moving supplement SKUs that had been carried too long. The obsolescence provision was increased twice during the year in response. This was a one-off clean-up rather than a run-rate deterioration, but it points to a range management issue that should be addressed at the next listing review.</t>
  </si>
  <si>
    <t xml:space="preserve">4. OPERATING COSTS</t>
  </si>
  <si>
    <t xml:space="preserve">Operating costs came in 0.16m favourable in aggregate, which partially offset the gross profit miss.</t>
  </si>
  <si>
    <t xml:space="preserve">The single largest favourable variance is advertising and promotion. Media and digital spend of 2.27m was 0.29m below the 2.55m budget. Part of this was a deliberate decision taken in June to hold back second-half media in response to the first-half revenue trend, and part was the deferral of one digital campaign into January 2026. Trade promotions and point of sale spend landed on plan.</t>
  </si>
  <si>
    <t xml:space="preserve">Against that, the overhead base ran slightly hot. Personnel costs were 0.07m over budget across commercial and G&amp;A, professional fees exceeded plan by 0.02m on additional audit scope, and IT and software was 0.02m over on licence renewals. None of these is individually significant, but together they show the fixed cost base growing faster than the revenue that supports it.</t>
  </si>
  <si>
    <t xml:space="preserve">Warehousing and outbound freight were both marginally unfavourable despite lower volume, because the 3PL contract is roughly 70% fixed storage fee. Lower volume does not reduce that component.</t>
  </si>
  <si>
    <t xml:space="preserve">5. BELOW EBIT</t>
  </si>
  <si>
    <t xml:space="preserve">Depreciation and amortisation of 1.08m was exactly on budget. Interest on borrowings was on plan; lease interest was marginally above following the October fleet renewal.</t>
  </si>
  <si>
    <t xml:space="preserve">The notable item is a net foreign exchange loss of 0.12m against a 0.04m budget, an unfavourable variance of 0.08m. This arises on Hungarian forint and Romanian leu denominated receivables and payables against the euro functional currency. The exposure is unhedged. Given that a 0.08m swing consumed 16% of the total EBITDA variance, a forward hedging policy on the largest currency pair is worth putting to the board.</t>
  </si>
  <si>
    <t xml:space="preserve">The current tax charge of 0.29m was 0.06m below budget, purely as a consequence of lower taxable profit. The effective rate is in line with expectation at the Hungarian 9% corporate rate plus local business tax.</t>
  </si>
  <si>
    <t xml:space="preserve">6. CASH AND WORKING CAPITAL</t>
  </si>
  <si>
    <t xml:space="preserve">This is where the year outperformed. Operating cash flow of 3.9m exceeded profit for the period by 1.3m, and closing cash of 3.6m was 0.7m above the opening position after absorbing a 1.2m dividend to the parent, 1.0m of scheduled loan repayment, 0.56m of lease payments and 0.46m of capital expenditure.</t>
  </si>
  <si>
    <t xml:space="preserve">The cash conversion cycle shortened from 62 days in January to 45 days in December. All three components moved the right way: debtor days improved from 58 to 54 on tighter collections and a firmer approach to the aged pharmacy ledger, inventory days improved from 75 to 69 as slow-moving lines were delisted, and creditor days extended from 71 to 78 following renegotiated terms with two suppliers.</t>
  </si>
  <si>
    <t xml:space="preserve">Inventory released 0.95m of cash over the year and trade payables a further 0.42m. Trade receivables were broadly flat year on year despite the December revenue peak, which is a real improvement given the seasonal profile.</t>
  </si>
  <si>
    <t xml:space="preserve">One caution: part of the payables extension is a timing benefit rather than a structural gain, and the December creditor position should be watched into the first quarter.</t>
  </si>
  <si>
    <t xml:space="preserve">7. BALANCE SHEET AND FINANCING</t>
  </si>
  <si>
    <t xml:space="preserve">Total assets closed at 20.2m against 20.7m at the opening date, with the reduction driven by the release of working capital. Equity strengthened to 7.1m from 5.7m as retained profit of 2.6m more than offset the 1.2m dividend, lifting the equity ratio to 35%.</t>
  </si>
  <si>
    <t xml:space="preserve">Net debt closed at 0.25m, effectively a neutral position, against 2.4m in January. The company was in a net cash position through August and September. Net debt to EBITDA of 0.06 times leaves substantial headroom under the facility covenants.</t>
  </si>
  <si>
    <t xml:space="preserve">Right-of-use assets of 0.35m were recognised in October on the fleet renewal, with a matching lease liability. This is a non-cash transaction and is presented accordingly in the cash flow statement.</t>
  </si>
  <si>
    <t xml:space="preserve">8. ACTIONS AND OUTLOOK</t>
  </si>
  <si>
    <t xml:space="preserve">Four items are carried forward for management attention:</t>
  </si>
  <si>
    <t xml:space="preserve">First, the rebate step-up is now in the run rate. The second-half rate of 4.6% annualises to roughly 0.3m of additional deduction in 2026. The 2026 budget must reflect it, and the commercial team should be held to the volume commitments that justified it.</t>
  </si>
  <si>
    <t xml:space="preserve">Second, range management. The write-off pattern suggests too many slow-moving supplement SKUs. A listing review with a hard delisting threshold should be completed before the spring planogram cycle.</t>
  </si>
  <si>
    <t xml:space="preserve">Third, foreign exchange. The exposure is unhedged and cost 0.12m this year. A simple rolling forward programme on the largest pair would remove most of the volatility at modest cost.</t>
  </si>
  <si>
    <t xml:space="preserve">Fourth, the deferred media campaign lands in January 2026 and will depress first-quarter margin against the prior year comparative. This should be flagged in the January reporting rather than explained after the fact.</t>
  </si>
  <si>
    <t xml:space="preserve">On the current trajectory, and assuming a normal cold and flu season, 2026 net revenue in the region of 39m to 40m is achievable, but holding the EBITDA margin above 11% will require the overhead base to grow more slowly than revenue for the first time in three years.</t>
  </si>
  <si>
    <t xml:space="preserve">Prepared by Financial Control. Danube Consumer Health Kft is a fictional entity; all figures are synthetic and created for portfolio purposes.</t>
  </si>
  <si>
    <t xml:space="preserve">Control Panel</t>
  </si>
  <si>
    <t xml:space="preserve">Every integrity check in the workbook, in one place. All must read nil or PASS.</t>
  </si>
  <si>
    <t xml:space="preserve">#</t>
  </si>
  <si>
    <t xml:space="preserve">Check</t>
  </si>
  <si>
    <t xml:space="preserve">Result</t>
  </si>
  <si>
    <t xml:space="preserve">Status</t>
  </si>
  <si>
    <t xml:space="preserve">What it proves</t>
  </si>
  <si>
    <t xml:space="preserve">Trial balance (actual) - every column nets to nil</t>
  </si>
  <si>
    <t xml:space="preserve">Double entry holds in the source data for the opening balance and all twelve months.</t>
  </si>
  <si>
    <t xml:space="preserve">Trial balance (budget) - every column nets to nil</t>
  </si>
  <si>
    <t xml:space="preserve">The budget was built on the same double entry basis, so variances are like for like.</t>
  </si>
  <si>
    <t xml:space="preserve">Balance sheet balances at every month end</t>
  </si>
  <si>
    <t xml:space="preserve">Total assets equal total equity and liabilities in all thirteen columns. Also proves every account is mapped.</t>
  </si>
  <si>
    <t xml:space="preserve">Cash flow reconciles to the balance sheet cash line</t>
  </si>
  <si>
    <t xml:space="preserve">Closing cash per the cash flow equals the balance sheet cash line in every month.</t>
  </si>
  <si>
    <t xml:space="preserve">P&amp;L profit equals the trial balance profit and loss accounts</t>
  </si>
  <si>
    <t xml:space="preserve">No profit and loss account has been omitted from or duplicated in the income statement.</t>
  </si>
  <si>
    <t xml:space="preserve">Sum of the twelve months equals the full year column</t>
  </si>
  <si>
    <t xml:space="preserve">The full year column is a true sum of the monthly columns, not an independent calculation.</t>
  </si>
  <si>
    <t xml:space="preserve">Equity reconciles: opening + profit - dividend = closing</t>
  </si>
  <si>
    <t xml:space="preserve">The movement in equity is fully explained by the result for the year and the June dividend.</t>
  </si>
  <si>
    <t xml:space="preserve">Net movement in cash equals the change in the balance sheet</t>
  </si>
  <si>
    <t xml:space="preserve">The full year cash flow explains the whole movement between the opening and closing cash balances.</t>
  </si>
  <si>
    <t xml:space="preserve">No duplicate account codes in the chart of accounts</t>
  </si>
  <si>
    <t xml:space="preserve">Each of the accounts appears exactly once, so no balance is counted twice by the mapping.</t>
  </si>
  <si>
    <t xml:space="preserve">Trial balance closing column agrees to opening plus movements</t>
  </si>
  <si>
    <t xml:space="preserve">The closing balance column is arithmetically consistent with the source movements.</t>
  </si>
  <si>
    <t xml:space="preserve">OVERALL</t>
  </si>
  <si>
    <t xml:space="preserve">Results are shown to six decimal places. Values in the order of 1E-13 are floating point noise, not real differences.</t>
  </si>
  <si>
    <t xml:space="preserve">If a check fails after an input is changed, the mapping on the Chart of Accounts tab is the first place to look.</t>
  </si>
</sst>
</file>

<file path=xl/styles.xml><?xml version="1.0" encoding="utf-8"?>
<styleSheet xmlns="http://schemas.openxmlformats.org/spreadsheetml/2006/main">
  <numFmts count="11">
    <numFmt numFmtId="164" formatCode="General"/>
    <numFmt numFmtId="165" formatCode="#,##0;\(#,##0\);\-"/>
    <numFmt numFmtId="166" formatCode="0.0%;\(0.0%\);\-"/>
    <numFmt numFmtId="167" formatCode="#,##0.0;\(#,##0.0\);\-"/>
    <numFmt numFmtId="168" formatCode="#,##0.0"/>
    <numFmt numFmtId="169" formatCode="0.00"/>
    <numFmt numFmtId="170" formatCode="0.00\x"/>
    <numFmt numFmtId="171" formatCode="#,##0"/>
    <numFmt numFmtId="172" formatCode="0.0%"/>
    <numFmt numFmtId="173" formatCode="0.0&quot;pp&quot;;\(0.0&quot;pp)&quot;;\-"/>
    <numFmt numFmtId="174" formatCode="#,##0.000000"/>
  </numFmts>
  <fonts count="23">
    <font>
      <sz val="11"/>
      <color theme="1"/>
      <name val="Calibri"/>
      <family val="2"/>
      <charset val="1"/>
    </font>
    <font>
      <sz val="10"/>
      <name val="Arial"/>
      <family val="0"/>
    </font>
    <font>
      <sz val="10"/>
      <name val="Arial"/>
      <family val="0"/>
    </font>
    <font>
      <sz val="10"/>
      <name val="Arial"/>
      <family val="0"/>
    </font>
    <font>
      <b val="true"/>
      <sz val="20"/>
      <color rgb="FF1F3552"/>
      <name val="Arial"/>
      <family val="0"/>
      <charset val="1"/>
    </font>
    <font>
      <b val="true"/>
      <sz val="13"/>
      <color rgb="FFB08D3F"/>
      <name val="Arial"/>
      <family val="0"/>
      <charset val="1"/>
    </font>
    <font>
      <sz val="10"/>
      <color rgb="FF595959"/>
      <name val="Arial"/>
      <family val="0"/>
      <charset val="1"/>
    </font>
    <font>
      <b val="true"/>
      <sz val="11"/>
      <color rgb="FF1F3552"/>
      <name val="Arial"/>
      <family val="0"/>
      <charset val="1"/>
    </font>
    <font>
      <b val="true"/>
      <sz val="10"/>
      <name val="Arial"/>
      <family val="0"/>
      <charset val="1"/>
    </font>
    <font>
      <sz val="10"/>
      <color rgb="FF000000"/>
      <name val="Arial"/>
      <family val="0"/>
      <charset val="1"/>
    </font>
    <font>
      <b val="true"/>
      <sz val="10"/>
      <color rgb="FFC00000"/>
      <name val="Arial"/>
      <family val="0"/>
      <charset val="1"/>
    </font>
    <font>
      <b val="true"/>
      <sz val="10"/>
      <color rgb="FF1F3552"/>
      <name val="Arial"/>
      <family val="0"/>
      <charset val="1"/>
    </font>
    <font>
      <b val="true"/>
      <sz val="9"/>
      <color rgb="FFB08D3F"/>
      <name val="Arial"/>
      <family val="0"/>
      <charset val="1"/>
    </font>
    <font>
      <b val="true"/>
      <sz val="16"/>
      <color rgb="FF1F3552"/>
      <name val="Arial"/>
      <family val="0"/>
      <charset val="1"/>
    </font>
    <font>
      <i val="true"/>
      <sz val="9"/>
      <color rgb="FF595959"/>
      <name val="Arial"/>
      <family val="0"/>
      <charset val="1"/>
    </font>
    <font>
      <b val="true"/>
      <sz val="10"/>
      <color rgb="FFFFFFFF"/>
      <name val="Arial"/>
      <family val="0"/>
      <charset val="1"/>
    </font>
    <font>
      <sz val="10"/>
      <color rgb="FF0000FF"/>
      <name val="Arial"/>
      <family val="0"/>
      <charset val="1"/>
    </font>
    <font>
      <sz val="10"/>
      <color rgb="FF008000"/>
      <name val="Arial"/>
      <family val="0"/>
      <charset val="1"/>
    </font>
    <font>
      <b val="true"/>
      <sz val="9"/>
      <color rgb="FF1F3552"/>
      <name val="Arial"/>
      <family val="0"/>
      <charset val="1"/>
    </font>
    <font>
      <b val="true"/>
      <sz val="18"/>
      <color rgb="FF000000"/>
      <name val="Calibri"/>
      <family val="2"/>
    </font>
    <font>
      <sz val="10"/>
      <color rgb="FF000000"/>
      <name val="Calibri"/>
      <family val="2"/>
    </font>
    <font>
      <b val="true"/>
      <sz val="10"/>
      <color rgb="FF000000"/>
      <name val="Calibri"/>
      <family val="2"/>
    </font>
    <font>
      <b val="true"/>
      <sz val="10"/>
      <color rgb="FF2E7D32"/>
      <name val="Arial"/>
      <family val="0"/>
      <charset val="1"/>
    </font>
  </fonts>
  <fills count="6">
    <fill>
      <patternFill patternType="none"/>
    </fill>
    <fill>
      <patternFill patternType="gray125"/>
    </fill>
    <fill>
      <patternFill patternType="solid">
        <fgColor rgb="FF1F3552"/>
        <bgColor rgb="FF003366"/>
      </patternFill>
    </fill>
    <fill>
      <patternFill patternType="solid">
        <fgColor rgb="FFF2F4F7"/>
        <bgColor rgb="FFFFFFFF"/>
      </patternFill>
    </fill>
    <fill>
      <patternFill patternType="solid">
        <fgColor rgb="FFFFFF00"/>
        <bgColor rgb="FFFFFF00"/>
      </patternFill>
    </fill>
    <fill>
      <patternFill patternType="solid">
        <fgColor rgb="FFD9DDE3"/>
        <bgColor rgb="FFD9D9D9"/>
      </patternFill>
    </fill>
  </fills>
  <borders count="3">
    <border diagonalUp="false" diagonalDown="false">
      <left/>
      <right/>
      <top/>
      <bottom/>
      <diagonal/>
    </border>
    <border diagonalUp="false" diagonalDown="false">
      <left/>
      <right/>
      <top style="thin">
        <color rgb="FF808080"/>
      </top>
      <bottom/>
      <diagonal/>
    </border>
    <border diagonalUp="false" diagonalDown="false">
      <left/>
      <right/>
      <top style="double"/>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2" borderId="0" xfId="0" applyFont="true" applyBorder="false" applyAlignment="true" applyProtection="false">
      <alignment horizontal="left" vertical="bottom" textRotation="0" wrapText="false" indent="0" shrinkToFit="false"/>
      <protection locked="true" hidden="false"/>
    </xf>
    <xf numFmtId="164" fontId="15" fillId="2" borderId="0" xfId="0" applyFont="true" applyBorder="false" applyAlignment="true" applyProtection="false">
      <alignment horizontal="center" vertical="bottom" textRotation="0" wrapText="false" indent="0" shrinkToFit="false"/>
      <protection locked="true" hidden="false"/>
    </xf>
    <xf numFmtId="165" fontId="16" fillId="0" borderId="0" xfId="0" applyFont="true" applyBorder="false" applyAlignment="false" applyProtection="false">
      <alignment horizontal="general" vertical="bottom" textRotation="0" wrapText="false" indent="0" shrinkToFit="false"/>
      <protection locked="true" hidden="false"/>
    </xf>
    <xf numFmtId="166" fontId="16" fillId="0" borderId="0" xfId="0" applyFont="true" applyBorder="false" applyAlignment="false" applyProtection="false">
      <alignment horizontal="general" vertical="bottom" textRotation="0" wrapText="false" indent="0" shrinkToFit="false"/>
      <protection locked="true" hidden="false"/>
    </xf>
    <xf numFmtId="167" fontId="16" fillId="0" borderId="0" xfId="0" applyFont="true" applyBorder="false" applyAlignment="false" applyProtection="false">
      <alignment horizontal="general" vertical="bottom" textRotation="0" wrapText="false" indent="0" shrinkToFit="false"/>
      <protection locked="true" hidden="false"/>
    </xf>
    <xf numFmtId="168" fontId="1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center" vertical="bottom" textRotation="0" wrapText="false" indent="0" shrinkToFit="false"/>
      <protection locked="true" hidden="false"/>
    </xf>
    <xf numFmtId="169" fontId="16"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left"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center" vertical="bottom" textRotation="0" wrapText="false" indent="0" shrinkToFit="false"/>
      <protection locked="true" hidden="false"/>
    </xf>
    <xf numFmtId="164" fontId="16" fillId="3" borderId="0" xfId="0" applyFont="true" applyBorder="false" applyAlignment="true" applyProtection="false">
      <alignment horizontal="left" vertical="bottom" textRotation="0" wrapText="false" indent="0" shrinkToFit="false"/>
      <protection locked="true" hidden="false"/>
    </xf>
    <xf numFmtId="164" fontId="16" fillId="3" borderId="0" xfId="0" applyFont="true" applyBorder="false" applyAlignment="false" applyProtection="false">
      <alignment horizontal="general" vertical="bottom" textRotation="0" wrapText="false" indent="0" shrinkToFit="false"/>
      <protection locked="true" hidden="false"/>
    </xf>
    <xf numFmtId="164" fontId="16" fillId="3" borderId="0" xfId="0" applyFont="true" applyBorder="false" applyAlignment="true" applyProtection="false">
      <alignment horizontal="center" vertical="bottom" textRotation="0" wrapText="false" indent="0" shrinkToFit="false"/>
      <protection locked="true" hidden="false"/>
    </xf>
    <xf numFmtId="164" fontId="15" fillId="2" borderId="0" xfId="0" applyFont="true" applyBorder="false" applyAlignment="true" applyProtection="false">
      <alignment horizontal="center" vertical="bottom"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7" fontId="9" fillId="0" borderId="0" xfId="0" applyFont="true" applyBorder="false" applyAlignment="false" applyProtection="false">
      <alignment horizontal="general" vertical="bottom" textRotation="0" wrapText="false" indent="0" shrinkToFit="false"/>
      <protection locked="true" hidden="false"/>
    </xf>
    <xf numFmtId="164" fontId="17" fillId="3" borderId="0" xfId="0" applyFont="true" applyBorder="false" applyAlignment="false" applyProtection="false">
      <alignment horizontal="general" vertical="bottom" textRotation="0" wrapText="false" indent="0" shrinkToFit="false"/>
      <protection locked="true" hidden="false"/>
    </xf>
    <xf numFmtId="167" fontId="16" fillId="3" borderId="0" xfId="0" applyFont="true" applyBorder="false" applyAlignment="false" applyProtection="false">
      <alignment horizontal="general" vertical="bottom" textRotation="0" wrapText="false" indent="0" shrinkToFit="false"/>
      <protection locked="true" hidden="false"/>
    </xf>
    <xf numFmtId="167" fontId="9" fillId="3" borderId="0" xfId="0" applyFont="true" applyBorder="false" applyAlignment="false" applyProtection="false">
      <alignment horizontal="general" vertical="bottom" textRotation="0" wrapText="false" indent="0" shrinkToFit="false"/>
      <protection locked="true" hidden="false"/>
    </xf>
    <xf numFmtId="167" fontId="8" fillId="4" borderId="2"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2" shrinkToFit="false"/>
      <protection locked="true" hidden="false"/>
    </xf>
    <xf numFmtId="165" fontId="17" fillId="0" borderId="0" xfId="0" applyFont="tru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false" applyProtection="false">
      <alignment horizontal="general" vertical="bottom" textRotation="0" wrapText="false" indent="0" shrinkToFit="false"/>
      <protection locked="true" hidden="false"/>
    </xf>
    <xf numFmtId="166" fontId="9"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6" fontId="8" fillId="5" borderId="1" xfId="0" applyFont="true" applyBorder="true" applyAlignment="false" applyProtection="false">
      <alignment horizontal="general" vertical="bottom"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6" fontId="9" fillId="5"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2" shrinkToFit="false"/>
      <protection locked="true" hidden="false"/>
    </xf>
    <xf numFmtId="164" fontId="8" fillId="5" borderId="1" xfId="0" applyFont="true" applyBorder="true" applyAlignment="true" applyProtection="false">
      <alignment horizontal="general" vertical="bottom" textRotation="0" wrapText="false" indent="2" shrinkToFit="false"/>
      <protection locked="true" hidden="false"/>
    </xf>
    <xf numFmtId="164" fontId="18" fillId="3"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6" fontId="17" fillId="0" borderId="0" xfId="0" applyFont="true" applyBorder="false" applyAlignment="false" applyProtection="false">
      <alignment horizontal="general" vertical="bottom" textRotation="0" wrapText="false" indent="0" shrinkToFit="false"/>
      <protection locked="true" hidden="false"/>
    </xf>
    <xf numFmtId="166" fontId="8" fillId="0" borderId="0" xfId="0" applyFont="true" applyBorder="false" applyAlignment="false" applyProtection="false">
      <alignment horizontal="general" vertical="bottom" textRotation="0" wrapText="false" indent="0" shrinkToFit="false"/>
      <protection locked="true" hidden="false"/>
    </xf>
    <xf numFmtId="168" fontId="17" fillId="0" borderId="0" xfId="0" applyFont="true" applyBorder="false" applyAlignment="false" applyProtection="false">
      <alignment horizontal="general" vertical="bottom" textRotation="0" wrapText="false" indent="0" shrinkToFit="false"/>
      <protection locked="true" hidden="false"/>
    </xf>
    <xf numFmtId="168" fontId="8" fillId="0" borderId="0" xfId="0" applyFont="true" applyBorder="false" applyAlignment="false" applyProtection="false">
      <alignment horizontal="general" vertical="bottom" textRotation="0" wrapText="false" indent="0" shrinkToFit="false"/>
      <protection locked="true" hidden="false"/>
    </xf>
    <xf numFmtId="170" fontId="17" fillId="0" borderId="0" xfId="0" applyFont="true" applyBorder="false" applyAlignment="false" applyProtection="false">
      <alignment horizontal="general" vertical="bottom" textRotation="0" wrapText="false" indent="0" shrinkToFit="false"/>
      <protection locked="true" hidden="false"/>
    </xf>
    <xf numFmtId="170" fontId="8" fillId="0" borderId="0" xfId="0" applyFont="true" applyBorder="false" applyAlignment="false" applyProtection="false">
      <alignment horizontal="general"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5" fontId="17" fillId="0" borderId="1" xfId="0" applyFont="true" applyBorder="true" applyAlignment="false" applyProtection="false">
      <alignment horizontal="general" vertical="bottom" textRotation="0" wrapText="false" indent="0" shrinkToFit="false"/>
      <protection locked="true" hidden="false"/>
    </xf>
    <xf numFmtId="166" fontId="17" fillId="0" borderId="1" xfId="0" applyFont="true" applyBorder="true" applyAlignment="false" applyProtection="false">
      <alignment horizontal="general" vertical="bottom" textRotation="0" wrapText="false" indent="0" shrinkToFit="false"/>
      <protection locked="true" hidden="false"/>
    </xf>
    <xf numFmtId="173" fontId="9" fillId="0" borderId="0" xfId="0" applyFont="true" applyBorder="fals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center" vertical="bottom" textRotation="0" wrapText="false" indent="0" shrinkToFit="false"/>
      <protection locked="true" hidden="false"/>
    </xf>
    <xf numFmtId="174" fontId="17" fillId="0" borderId="0" xfId="0" applyFont="true" applyBorder="false" applyAlignment="true" applyProtection="false">
      <alignment horizontal="center" vertical="bottom" textRotation="0" wrapText="false" indent="0" shrinkToFit="false"/>
      <protection locked="true" hidden="false"/>
    </xf>
    <xf numFmtId="164" fontId="8" fillId="4" borderId="0" xfId="0" applyFont="true" applyBorder="false" applyAlignment="true" applyProtection="false">
      <alignment horizontal="center" vertical="bottom" textRotation="0" wrapText="false" indent="0" shrinkToFit="false"/>
      <protection locked="true" hidden="false"/>
    </xf>
    <xf numFmtId="164" fontId="14" fillId="0" borderId="0" xfId="0" applyFont="true" applyBorder="false" applyAlignment="true" applyProtection="false">
      <alignment horizontal="general" vertical="top" textRotation="0" wrapText="true" indent="0" shrinkToFit="false"/>
      <protection locked="true" hidden="false"/>
    </xf>
    <xf numFmtId="164" fontId="9" fillId="3" borderId="0" xfId="0" applyFont="true" applyBorder="false" applyAlignment="true" applyProtection="false">
      <alignment horizontal="center" vertical="bottom" textRotation="0" wrapText="false" indent="0" shrinkToFit="false"/>
      <protection locked="true" hidden="false"/>
    </xf>
    <xf numFmtId="164" fontId="9" fillId="3" borderId="0" xfId="0" applyFont="true" applyBorder="false" applyAlignment="false" applyProtection="false">
      <alignment horizontal="general" vertical="bottom" textRotation="0" wrapText="false" indent="0" shrinkToFit="false"/>
      <protection locked="true" hidden="false"/>
    </xf>
    <xf numFmtId="174" fontId="8" fillId="0" borderId="2" xfId="0" applyFont="true" applyBorder="true" applyAlignment="true" applyProtection="false">
      <alignment horizontal="center" vertical="bottom" textRotation="0" wrapText="false" indent="0" shrinkToFit="false"/>
      <protection locked="true" hidden="false"/>
    </xf>
    <xf numFmtId="164" fontId="22" fillId="4" borderId="2" xfId="0" applyFont="tru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8000"/>
      <rgbColor rgb="FF000080"/>
      <rgbColor rgb="FFB08D3F"/>
      <rgbColor rgb="FF800080"/>
      <rgbColor rgb="FF008080"/>
      <rgbColor rgb="FFD9D9D9"/>
      <rgbColor rgb="FF808080"/>
      <rgbColor rgb="FF878787"/>
      <rgbColor rgb="FF993366"/>
      <rgbColor rgb="FFF2F4F7"/>
      <rgbColor rgb="FFE4E7EC"/>
      <rgbColor rgb="FF660066"/>
      <rgbColor rgb="FFFF8080"/>
      <rgbColor rgb="FF0066CC"/>
      <rgbColor rgb="FFD9DD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7A7A7A"/>
      <rgbColor rgb="FF8C8C8C"/>
      <rgbColor rgb="FF003366"/>
      <rgbColor rgb="FF2E7D32"/>
      <rgbColor rgb="FF003300"/>
      <rgbColor rgb="FF333300"/>
      <rgbColor rgb="FFC0392B"/>
      <rgbColor rgb="FF993366"/>
      <rgbColor rgb="FF595959"/>
      <rgbColor rgb="FF1F355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Net revenue and gross margin by month</a:t>
            </a:r>
          </a:p>
        </c:rich>
      </c:tx>
      <c:overlay val="0"/>
      <c:spPr>
        <a:noFill/>
        <a:ln w="0">
          <a:noFill/>
        </a:ln>
      </c:spPr>
    </c:title>
    <c:autoTitleDeleted val="0"/>
    <c:plotArea>
      <c:barChart>
        <c:barDir val="col"/>
        <c:grouping val="clustered"/>
        <c:varyColors val="0"/>
        <c:ser>
          <c:idx val="0"/>
          <c:order val="0"/>
          <c:tx>
            <c:strRef>
              <c:f>'KPI Dashboard'!B9</c:f>
              <c:strCache>
                <c:ptCount val="1"/>
                <c:pt idx="0">
                  <c:v>Net revenue</c:v>
                </c:pt>
              </c:strCache>
            </c:strRef>
          </c:tx>
          <c:spPr>
            <a:solidFill>
              <a:srgbClr val="1f3552"/>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'KPI Dashboard'!$C$6:$N$6</c:f>
              <c:strCache>
                <c:ptCount val="12"/>
                <c:pt idx="0">
                  <c:v>Jan-25</c:v>
                </c:pt>
                <c:pt idx="1">
                  <c:v>Feb-25</c:v>
                </c:pt>
                <c:pt idx="2">
                  <c:v>Mar-25</c:v>
                </c:pt>
                <c:pt idx="3">
                  <c:v>Apr-25</c:v>
                </c:pt>
                <c:pt idx="4">
                  <c:v>May-25</c:v>
                </c:pt>
                <c:pt idx="5">
                  <c:v>Jun-25</c:v>
                </c:pt>
                <c:pt idx="6">
                  <c:v>Jul-25</c:v>
                </c:pt>
                <c:pt idx="7">
                  <c:v>Aug-25</c:v>
                </c:pt>
                <c:pt idx="8">
                  <c:v>Sep-25</c:v>
                </c:pt>
                <c:pt idx="9">
                  <c:v>Oct-25</c:v>
                </c:pt>
                <c:pt idx="10">
                  <c:v>Nov-25</c:v>
                </c:pt>
                <c:pt idx="11">
                  <c:v>Dec-25</c:v>
                </c:pt>
              </c:strCache>
            </c:strRef>
          </c:cat>
          <c:val>
            <c:numRef>
              <c:f>'KPI Dashboard'!$C$9:$N$9</c:f>
              <c:numCache>
                <c:formatCode>#,##0;\(#,##0\);\-</c:formatCode>
                <c:ptCount val="12"/>
                <c:pt idx="0">
                  <c:v>3727.2</c:v>
                </c:pt>
                <c:pt idx="1">
                  <c:v>3537.6</c:v>
                </c:pt>
                <c:pt idx="2">
                  <c:v>3316.6</c:v>
                </c:pt>
                <c:pt idx="3">
                  <c:v>2906</c:v>
                </c:pt>
                <c:pt idx="4">
                  <c:v>2684.9</c:v>
                </c:pt>
                <c:pt idx="5">
                  <c:v>2446.4</c:v>
                </c:pt>
                <c:pt idx="6">
                  <c:v>2258.2</c:v>
                </c:pt>
                <c:pt idx="7">
                  <c:v>2509</c:v>
                </c:pt>
                <c:pt idx="8">
                  <c:v>3199.2</c:v>
                </c:pt>
                <c:pt idx="9">
                  <c:v>3763.7</c:v>
                </c:pt>
                <c:pt idx="10">
                  <c:v>3920.5</c:v>
                </c:pt>
                <c:pt idx="11">
                  <c:v>3481.3</c:v>
                </c:pt>
              </c:numCache>
            </c:numRef>
          </c:val>
        </c:ser>
        <c:gapWidth val="45"/>
        <c:overlap val="0"/>
        <c:axId val="12293828"/>
        <c:axId val="56951813"/>
      </c:barChart>
      <c:lineChart>
        <c:grouping val="standard"/>
        <c:varyColors val="0"/>
        <c:ser>
          <c:idx val="1"/>
          <c:order val="1"/>
          <c:tx>
            <c:strRef>
              <c:f>'KPI Dashboard'!B11</c:f>
              <c:strCache>
                <c:ptCount val="1"/>
                <c:pt idx="0">
                  <c:v>Gross margin %</c:v>
                </c:pt>
              </c:strCache>
            </c:strRef>
          </c:tx>
          <c:spPr>
            <a:solidFill>
              <a:srgbClr val="b08d3f"/>
            </a:solidFill>
            <a:ln w="25920">
              <a:solidFill>
                <a:srgbClr val="b08d3f"/>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'KPI Dashboard'!$C$6:$N$6</c:f>
              <c:strCache>
                <c:ptCount val="12"/>
                <c:pt idx="0">
                  <c:v>Jan-25</c:v>
                </c:pt>
                <c:pt idx="1">
                  <c:v>Feb-25</c:v>
                </c:pt>
                <c:pt idx="2">
                  <c:v>Mar-25</c:v>
                </c:pt>
                <c:pt idx="3">
                  <c:v>Apr-25</c:v>
                </c:pt>
                <c:pt idx="4">
                  <c:v>May-25</c:v>
                </c:pt>
                <c:pt idx="5">
                  <c:v>Jun-25</c:v>
                </c:pt>
                <c:pt idx="6">
                  <c:v>Jul-25</c:v>
                </c:pt>
                <c:pt idx="7">
                  <c:v>Aug-25</c:v>
                </c:pt>
                <c:pt idx="8">
                  <c:v>Sep-25</c:v>
                </c:pt>
                <c:pt idx="9">
                  <c:v>Oct-25</c:v>
                </c:pt>
                <c:pt idx="10">
                  <c:v>Nov-25</c:v>
                </c:pt>
                <c:pt idx="11">
                  <c:v>Dec-25</c:v>
                </c:pt>
              </c:strCache>
            </c:strRef>
          </c:cat>
          <c:val>
            <c:numRef>
              <c:f>'KPI Dashboard'!$C$11:$N$11</c:f>
              <c:numCache>
                <c:formatCode>0.0%;\(0.0%\);\-</c:formatCode>
                <c:ptCount val="12"/>
                <c:pt idx="0">
                  <c:v>0.39734921657008</c:v>
                </c:pt>
                <c:pt idx="1">
                  <c:v>0.397133649932157</c:v>
                </c:pt>
                <c:pt idx="2">
                  <c:v>0.395887354519689</c:v>
                </c:pt>
                <c:pt idx="3">
                  <c:v>0.395147969717825</c:v>
                </c:pt>
                <c:pt idx="4">
                  <c:v>0.394688815225893</c:v>
                </c:pt>
                <c:pt idx="5">
                  <c:v>0.373242315238718</c:v>
                </c:pt>
                <c:pt idx="6">
                  <c:v>0.393454964130724</c:v>
                </c:pt>
                <c:pt idx="7">
                  <c:v>0.394220805101634</c:v>
                </c:pt>
                <c:pt idx="8">
                  <c:v>0.395692673168292</c:v>
                </c:pt>
                <c:pt idx="9">
                  <c:v>0.395594760475064</c:v>
                </c:pt>
                <c:pt idx="10">
                  <c:v>0.378497640607066</c:v>
                </c:pt>
                <c:pt idx="11">
                  <c:v>0.391233160026427</c:v>
                </c:pt>
              </c:numCache>
            </c:numRef>
          </c:val>
          <c:smooth val="0"/>
        </c:ser>
        <c:hiLowLines>
          <c:spPr>
            <a:ln w="0">
              <a:noFill/>
            </a:ln>
          </c:spPr>
        </c:hiLowLines>
        <c:marker val="0"/>
        <c:axId val="97651275"/>
        <c:axId val="14137381"/>
      </c:lineChart>
      <c:catAx>
        <c:axId val="12293828"/>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6951813"/>
        <c:crosses val="autoZero"/>
        <c:auto val="1"/>
        <c:lblAlgn val="ctr"/>
        <c:lblOffset val="100"/>
        <c:noMultiLvlLbl val="0"/>
      </c:catAx>
      <c:valAx>
        <c:axId val="56951813"/>
        <c:scaling>
          <c:orientation val="minMax"/>
        </c:scaling>
        <c:delete val="0"/>
        <c:axPos val="l"/>
        <c:majorGridlines>
          <c:spPr>
            <a:ln w="9360">
              <a:solidFill>
                <a:srgbClr val="e4e7ec"/>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Net revenue (EUR '000)</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2293828"/>
        <c:crosses val="autoZero"/>
        <c:crossBetween val="between"/>
      </c:valAx>
      <c:catAx>
        <c:axId val="97651275"/>
        <c:scaling>
          <c:orientation val="minMax"/>
        </c:scaling>
        <c:delete val="0"/>
        <c:axPos val="t"/>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4137381"/>
        <c:crosses val="autoZero"/>
        <c:auto val="1"/>
        <c:lblAlgn val="ctr"/>
        <c:lblOffset val="100"/>
        <c:noMultiLvlLbl val="0"/>
      </c:catAx>
      <c:valAx>
        <c:axId val="14137381"/>
        <c:scaling>
          <c:orientation val="minMax"/>
        </c:scaling>
        <c:delete val="0"/>
        <c:axPos val="r"/>
        <c:title>
          <c:tx>
            <c:rich>
              <a:bodyPr rot="-5400000"/>
              <a:lstStyle/>
              <a:p>
                <a:pPr>
                  <a:defRPr b="1" sz="1000" spc="-1" strike="noStrike">
                    <a:solidFill>
                      <a:srgbClr val="000000"/>
                    </a:solidFill>
                    <a:latin typeface="Calibri"/>
                  </a:defRPr>
                </a:pPr>
                <a:r>
                  <a:rPr b="1" sz="1000" spc="-1" strike="noStrike">
                    <a:solidFill>
                      <a:srgbClr val="000000"/>
                    </a:solidFill>
                    <a:latin typeface="Calibri"/>
                  </a:rPr>
                  <a:t>Gross margin</a:t>
                </a:r>
              </a:p>
            </c:rich>
          </c:tx>
          <c:overlay val="0"/>
          <c:spPr>
            <a:noFill/>
            <a:ln w="0">
              <a:noFill/>
            </a:ln>
          </c:spPr>
        </c:title>
        <c:numFmt formatCode="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7651275"/>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Working capital days and cash conversion cycle</a:t>
            </a:r>
          </a:p>
        </c:rich>
      </c:tx>
      <c:overlay val="0"/>
      <c:spPr>
        <a:noFill/>
        <a:ln w="0">
          <a:noFill/>
        </a:ln>
      </c:spPr>
    </c:title>
    <c:autoTitleDeleted val="0"/>
    <c:plotArea>
      <c:lineChart>
        <c:grouping val="standard"/>
        <c:varyColors val="0"/>
        <c:ser>
          <c:idx val="0"/>
          <c:order val="0"/>
          <c:tx>
            <c:strRef>
              <c:f>'KPI Dashboard'!B30</c:f>
              <c:strCache>
                <c:ptCount val="1"/>
                <c:pt idx="0">
                  <c:v>Debtor days (DSO)</c:v>
                </c:pt>
              </c:strCache>
            </c:strRef>
          </c:tx>
          <c:spPr>
            <a:solidFill>
              <a:srgbClr val="1f3552"/>
            </a:solidFill>
            <a:ln w="21960">
              <a:solidFill>
                <a:srgbClr val="1f3552"/>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'KPI Dashboard'!$C$6:$N$6</c:f>
              <c:strCache>
                <c:ptCount val="12"/>
                <c:pt idx="0">
                  <c:v>Jan-25</c:v>
                </c:pt>
                <c:pt idx="1">
                  <c:v>Feb-25</c:v>
                </c:pt>
                <c:pt idx="2">
                  <c:v>Mar-25</c:v>
                </c:pt>
                <c:pt idx="3">
                  <c:v>Apr-25</c:v>
                </c:pt>
                <c:pt idx="4">
                  <c:v>May-25</c:v>
                </c:pt>
                <c:pt idx="5">
                  <c:v>Jun-25</c:v>
                </c:pt>
                <c:pt idx="6">
                  <c:v>Jul-25</c:v>
                </c:pt>
                <c:pt idx="7">
                  <c:v>Aug-25</c:v>
                </c:pt>
                <c:pt idx="8">
                  <c:v>Sep-25</c:v>
                </c:pt>
                <c:pt idx="9">
                  <c:v>Oct-25</c:v>
                </c:pt>
                <c:pt idx="10">
                  <c:v>Nov-25</c:v>
                </c:pt>
                <c:pt idx="11">
                  <c:v>Dec-25</c:v>
                </c:pt>
              </c:strCache>
            </c:strRef>
          </c:cat>
          <c:val>
            <c:numRef>
              <c:f>'KPI Dashboard'!$C$30:$N$30</c:f>
              <c:numCache>
                <c:formatCode>#,##0.0</c:formatCode>
                <c:ptCount val="12"/>
                <c:pt idx="0">
                  <c:v>58.2121073907133</c:v>
                </c:pt>
                <c:pt idx="1">
                  <c:v>58.327919098484</c:v>
                </c:pt>
                <c:pt idx="2">
                  <c:v>59.3408717182981</c:v>
                </c:pt>
                <c:pt idx="3">
                  <c:v>58.6259887092478</c:v>
                </c:pt>
                <c:pt idx="4">
                  <c:v>57.8724249228179</c:v>
                </c:pt>
                <c:pt idx="5">
                  <c:v>57.0708446866485</c:v>
                </c:pt>
                <c:pt idx="6">
                  <c:v>56.2824616009202</c:v>
                </c:pt>
                <c:pt idx="7">
                  <c:v>55.6271313907064</c:v>
                </c:pt>
                <c:pt idx="8">
                  <c:v>55.2764423076923</c:v>
                </c:pt>
                <c:pt idx="9">
                  <c:v>55.0675286901255</c:v>
                </c:pt>
                <c:pt idx="10">
                  <c:v>54.7505030597056</c:v>
                </c:pt>
                <c:pt idx="11">
                  <c:v>54.2187877837983</c:v>
                </c:pt>
              </c:numCache>
            </c:numRef>
          </c:val>
          <c:smooth val="0"/>
        </c:ser>
        <c:ser>
          <c:idx val="1"/>
          <c:order val="1"/>
          <c:tx>
            <c:strRef>
              <c:f>'KPI Dashboard'!B31</c:f>
              <c:strCache>
                <c:ptCount val="1"/>
                <c:pt idx="0">
                  <c:v>Inventory days (DIO)</c:v>
                </c:pt>
              </c:strCache>
            </c:strRef>
          </c:tx>
          <c:spPr>
            <a:solidFill>
              <a:srgbClr val="b08d3f"/>
            </a:solidFill>
            <a:ln w="21960">
              <a:solidFill>
                <a:srgbClr val="b08d3f"/>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'KPI Dashboard'!$C$6:$N$6</c:f>
              <c:strCache>
                <c:ptCount val="12"/>
                <c:pt idx="0">
                  <c:v>Jan-25</c:v>
                </c:pt>
                <c:pt idx="1">
                  <c:v>Feb-25</c:v>
                </c:pt>
                <c:pt idx="2">
                  <c:v>Mar-25</c:v>
                </c:pt>
                <c:pt idx="3">
                  <c:v>Apr-25</c:v>
                </c:pt>
                <c:pt idx="4">
                  <c:v>May-25</c:v>
                </c:pt>
                <c:pt idx="5">
                  <c:v>Jun-25</c:v>
                </c:pt>
                <c:pt idx="6">
                  <c:v>Jul-25</c:v>
                </c:pt>
                <c:pt idx="7">
                  <c:v>Aug-25</c:v>
                </c:pt>
                <c:pt idx="8">
                  <c:v>Sep-25</c:v>
                </c:pt>
                <c:pt idx="9">
                  <c:v>Oct-25</c:v>
                </c:pt>
                <c:pt idx="10">
                  <c:v>Nov-25</c:v>
                </c:pt>
                <c:pt idx="11">
                  <c:v>Dec-25</c:v>
                </c:pt>
              </c:strCache>
            </c:strRef>
          </c:cat>
          <c:val>
            <c:numRef>
              <c:f>'KPI Dashboard'!$C$31:$N$31</c:f>
              <c:numCache>
                <c:formatCode>#,##0.0</c:formatCode>
                <c:ptCount val="12"/>
                <c:pt idx="0">
                  <c:v>75.0447363756486</c:v>
                </c:pt>
                <c:pt idx="1">
                  <c:v>75.1846891534392</c:v>
                </c:pt>
                <c:pt idx="2">
                  <c:v>76.5059938358847</c:v>
                </c:pt>
                <c:pt idx="3">
                  <c:v>75.4388810943529</c:v>
                </c:pt>
                <c:pt idx="4">
                  <c:v>74.2924437656768</c:v>
                </c:pt>
                <c:pt idx="5">
                  <c:v>72.4317076178093</c:v>
                </c:pt>
                <c:pt idx="6">
                  <c:v>71.1848345565824</c:v>
                </c:pt>
                <c:pt idx="7">
                  <c:v>70.3013613088548</c:v>
                </c:pt>
                <c:pt idx="8">
                  <c:v>70.1984993101577</c:v>
                </c:pt>
                <c:pt idx="9">
                  <c:v>70.4233088570994</c:v>
                </c:pt>
                <c:pt idx="10">
                  <c:v>69.6691279945696</c:v>
                </c:pt>
                <c:pt idx="11">
                  <c:v>69.0703317895009</c:v>
                </c:pt>
              </c:numCache>
            </c:numRef>
          </c:val>
          <c:smooth val="0"/>
        </c:ser>
        <c:ser>
          <c:idx val="2"/>
          <c:order val="2"/>
          <c:tx>
            <c:strRef>
              <c:f>'KPI Dashboard'!B32</c:f>
              <c:strCache>
                <c:ptCount val="1"/>
                <c:pt idx="0">
                  <c:v>Creditor days (DPO)</c:v>
                </c:pt>
              </c:strCache>
            </c:strRef>
          </c:tx>
          <c:spPr>
            <a:solidFill>
              <a:srgbClr val="8c8c8c"/>
            </a:solidFill>
            <a:ln w="21960">
              <a:solidFill>
                <a:srgbClr val="8c8c8c"/>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'KPI Dashboard'!$C$6:$N$6</c:f>
              <c:strCache>
                <c:ptCount val="12"/>
                <c:pt idx="0">
                  <c:v>Jan-25</c:v>
                </c:pt>
                <c:pt idx="1">
                  <c:v>Feb-25</c:v>
                </c:pt>
                <c:pt idx="2">
                  <c:v>Mar-25</c:v>
                </c:pt>
                <c:pt idx="3">
                  <c:v>Apr-25</c:v>
                </c:pt>
                <c:pt idx="4">
                  <c:v>May-25</c:v>
                </c:pt>
                <c:pt idx="5">
                  <c:v>Jun-25</c:v>
                </c:pt>
                <c:pt idx="6">
                  <c:v>Jul-25</c:v>
                </c:pt>
                <c:pt idx="7">
                  <c:v>Aug-25</c:v>
                </c:pt>
                <c:pt idx="8">
                  <c:v>Sep-25</c:v>
                </c:pt>
                <c:pt idx="9">
                  <c:v>Oct-25</c:v>
                </c:pt>
                <c:pt idx="10">
                  <c:v>Nov-25</c:v>
                </c:pt>
                <c:pt idx="11">
                  <c:v>Dec-25</c:v>
                </c:pt>
              </c:strCache>
            </c:strRef>
          </c:cat>
          <c:val>
            <c:numRef>
              <c:f>'KPI Dashboard'!$C$32:$N$32</c:f>
              <c:numCache>
                <c:formatCode>#,##0.0</c:formatCode>
                <c:ptCount val="12"/>
                <c:pt idx="0">
                  <c:v>71.1738555943743</c:v>
                </c:pt>
                <c:pt idx="1">
                  <c:v>72.3829576180956</c:v>
                </c:pt>
                <c:pt idx="2">
                  <c:v>74.7284563684269</c:v>
                </c:pt>
                <c:pt idx="3">
                  <c:v>75.0911458333333</c:v>
                </c:pt>
                <c:pt idx="4">
                  <c:v>75.4559085371568</c:v>
                </c:pt>
                <c:pt idx="5">
                  <c:v>75.8192690374309</c:v>
                </c:pt>
                <c:pt idx="6">
                  <c:v>76.1818546382902</c:v>
                </c:pt>
                <c:pt idx="7">
                  <c:v>76.545337776852</c:v>
                </c:pt>
                <c:pt idx="8">
                  <c:v>76.906316142417</c:v>
                </c:pt>
                <c:pt idx="9">
                  <c:v>77.2720362732656</c:v>
                </c:pt>
                <c:pt idx="10">
                  <c:v>77.6359871145881</c:v>
                </c:pt>
                <c:pt idx="11">
                  <c:v>78.0004672547847</c:v>
                </c:pt>
              </c:numCache>
            </c:numRef>
          </c:val>
          <c:smooth val="0"/>
        </c:ser>
        <c:ser>
          <c:idx val="3"/>
          <c:order val="3"/>
          <c:tx>
            <c:strRef>
              <c:f>'KPI Dashboard'!B33</c:f>
              <c:strCache>
                <c:ptCount val="1"/>
                <c:pt idx="0">
                  <c:v>Cash conversion cycle (days)</c:v>
                </c:pt>
              </c:strCache>
            </c:strRef>
          </c:tx>
          <c:spPr>
            <a:solidFill>
              <a:srgbClr val="c0392b"/>
            </a:solidFill>
            <a:ln w="21960">
              <a:solidFill>
                <a:srgbClr val="c0392b"/>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'KPI Dashboard'!$C$6:$N$6</c:f>
              <c:strCache>
                <c:ptCount val="12"/>
                <c:pt idx="0">
                  <c:v>Jan-25</c:v>
                </c:pt>
                <c:pt idx="1">
                  <c:v>Feb-25</c:v>
                </c:pt>
                <c:pt idx="2">
                  <c:v>Mar-25</c:v>
                </c:pt>
                <c:pt idx="3">
                  <c:v>Apr-25</c:v>
                </c:pt>
                <c:pt idx="4">
                  <c:v>May-25</c:v>
                </c:pt>
                <c:pt idx="5">
                  <c:v>Jun-25</c:v>
                </c:pt>
                <c:pt idx="6">
                  <c:v>Jul-25</c:v>
                </c:pt>
                <c:pt idx="7">
                  <c:v>Aug-25</c:v>
                </c:pt>
                <c:pt idx="8">
                  <c:v>Sep-25</c:v>
                </c:pt>
                <c:pt idx="9">
                  <c:v>Oct-25</c:v>
                </c:pt>
                <c:pt idx="10">
                  <c:v>Nov-25</c:v>
                </c:pt>
                <c:pt idx="11">
                  <c:v>Dec-25</c:v>
                </c:pt>
              </c:strCache>
            </c:strRef>
          </c:cat>
          <c:val>
            <c:numRef>
              <c:f>'KPI Dashboard'!$C$33:$N$33</c:f>
              <c:numCache>
                <c:formatCode>#,##0.0</c:formatCode>
                <c:ptCount val="12"/>
                <c:pt idx="0">
                  <c:v>62.0829881719876</c:v>
                </c:pt>
                <c:pt idx="1">
                  <c:v>61.1296506338276</c:v>
                </c:pt>
                <c:pt idx="2">
                  <c:v>61.118409185756</c:v>
                </c:pt>
                <c:pt idx="3">
                  <c:v>58.9737239702673</c:v>
                </c:pt>
                <c:pt idx="4">
                  <c:v>56.7089601513379</c:v>
                </c:pt>
                <c:pt idx="5">
                  <c:v>53.6832832670269</c:v>
                </c:pt>
                <c:pt idx="6">
                  <c:v>51.2854415192125</c:v>
                </c:pt>
                <c:pt idx="7">
                  <c:v>49.3831549227092</c:v>
                </c:pt>
                <c:pt idx="8">
                  <c:v>48.5686254754329</c:v>
                </c:pt>
                <c:pt idx="9">
                  <c:v>48.2188012739593</c:v>
                </c:pt>
                <c:pt idx="10">
                  <c:v>46.7836439396871</c:v>
                </c:pt>
                <c:pt idx="11">
                  <c:v>45.2886523185145</c:v>
                </c:pt>
              </c:numCache>
            </c:numRef>
          </c:val>
          <c:smooth val="0"/>
        </c:ser>
        <c:hiLowLines>
          <c:spPr>
            <a:ln w="0">
              <a:noFill/>
            </a:ln>
          </c:spPr>
        </c:hiLowLines>
        <c:marker val="0"/>
        <c:axId val="75903162"/>
        <c:axId val="88767705"/>
      </c:lineChart>
      <c:catAx>
        <c:axId val="7590316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8767705"/>
        <c:crosses val="autoZero"/>
        <c:auto val="1"/>
        <c:lblAlgn val="ctr"/>
        <c:lblOffset val="100"/>
        <c:noMultiLvlLbl val="0"/>
      </c:catAx>
      <c:valAx>
        <c:axId val="88767705"/>
        <c:scaling>
          <c:orientation val="minMax"/>
        </c:scaling>
        <c:delete val="0"/>
        <c:axPos val="l"/>
        <c:majorGridlines>
          <c:spPr>
            <a:ln w="9360">
              <a:solidFill>
                <a:srgbClr val="e4e7ec"/>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Days</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5903162"/>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Cash balance and net debt by month</a:t>
            </a:r>
          </a:p>
        </c:rich>
      </c:tx>
      <c:overlay val="0"/>
      <c:spPr>
        <a:noFill/>
        <a:ln w="0">
          <a:noFill/>
        </a:ln>
      </c:spPr>
    </c:title>
    <c:autoTitleDeleted val="0"/>
    <c:plotArea>
      <c:barChart>
        <c:barDir val="col"/>
        <c:grouping val="clustered"/>
        <c:varyColors val="0"/>
        <c:ser>
          <c:idx val="0"/>
          <c:order val="0"/>
          <c:tx>
            <c:strRef>
              <c:f>'KPI Dashboard'!B36</c:f>
              <c:strCache>
                <c:ptCount val="1"/>
                <c:pt idx="0">
                  <c:v>Cash and cash equivalents</c:v>
                </c:pt>
              </c:strCache>
            </c:strRef>
          </c:tx>
          <c:spPr>
            <a:solidFill>
              <a:srgbClr val="2e7d32"/>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'KPI Dashboard'!$C$6:$N$6</c:f>
              <c:strCache>
                <c:ptCount val="12"/>
                <c:pt idx="0">
                  <c:v>Jan-25</c:v>
                </c:pt>
                <c:pt idx="1">
                  <c:v>Feb-25</c:v>
                </c:pt>
                <c:pt idx="2">
                  <c:v>Mar-25</c:v>
                </c:pt>
                <c:pt idx="3">
                  <c:v>Apr-25</c:v>
                </c:pt>
                <c:pt idx="4">
                  <c:v>May-25</c:v>
                </c:pt>
                <c:pt idx="5">
                  <c:v>Jun-25</c:v>
                </c:pt>
                <c:pt idx="6">
                  <c:v>Jul-25</c:v>
                </c:pt>
                <c:pt idx="7">
                  <c:v>Aug-25</c:v>
                </c:pt>
                <c:pt idx="8">
                  <c:v>Sep-25</c:v>
                </c:pt>
                <c:pt idx="9">
                  <c:v>Oct-25</c:v>
                </c:pt>
                <c:pt idx="10">
                  <c:v>Nov-25</c:v>
                </c:pt>
                <c:pt idx="11">
                  <c:v>Dec-25</c:v>
                </c:pt>
              </c:strCache>
            </c:strRef>
          </c:cat>
          <c:val>
            <c:numRef>
              <c:f>'KPI Dashboard'!$C$36:$N$36</c:f>
              <c:numCache>
                <c:formatCode>#,##0;\(#,##0\);\-</c:formatCode>
                <c:ptCount val="12"/>
                <c:pt idx="0">
                  <c:v>2602.7</c:v>
                </c:pt>
                <c:pt idx="1">
                  <c:v>2255.5</c:v>
                </c:pt>
                <c:pt idx="2">
                  <c:v>2248.6</c:v>
                </c:pt>
                <c:pt idx="3">
                  <c:v>3141.8</c:v>
                </c:pt>
                <c:pt idx="4">
                  <c:v>4138.4</c:v>
                </c:pt>
                <c:pt idx="5">
                  <c:v>3269.9</c:v>
                </c:pt>
                <c:pt idx="6">
                  <c:v>3930.6</c:v>
                </c:pt>
                <c:pt idx="7">
                  <c:v>4372.1</c:v>
                </c:pt>
                <c:pt idx="8">
                  <c:v>4225.7</c:v>
                </c:pt>
                <c:pt idx="9">
                  <c:v>4158.7</c:v>
                </c:pt>
                <c:pt idx="10">
                  <c:v>4168.9</c:v>
                </c:pt>
                <c:pt idx="11">
                  <c:v>3625.6</c:v>
                </c:pt>
              </c:numCache>
            </c:numRef>
          </c:val>
        </c:ser>
        <c:gapWidth val="45"/>
        <c:overlap val="0"/>
        <c:axId val="27987945"/>
        <c:axId val="37331960"/>
      </c:barChart>
      <c:lineChart>
        <c:grouping val="standard"/>
        <c:varyColors val="0"/>
        <c:ser>
          <c:idx val="1"/>
          <c:order val="1"/>
          <c:tx>
            <c:strRef>
              <c:f>'KPI Dashboard'!B38</c:f>
              <c:strCache>
                <c:ptCount val="1"/>
                <c:pt idx="0">
                  <c:v>Net debt</c:v>
                </c:pt>
              </c:strCache>
            </c:strRef>
          </c:tx>
          <c:spPr>
            <a:solidFill>
              <a:srgbClr val="c0392b"/>
            </a:solidFill>
            <a:ln w="25920">
              <a:solidFill>
                <a:srgbClr val="c0392b"/>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'KPI Dashboard'!$C$6:$N$6</c:f>
              <c:strCache>
                <c:ptCount val="12"/>
                <c:pt idx="0">
                  <c:v>Jan-25</c:v>
                </c:pt>
                <c:pt idx="1">
                  <c:v>Feb-25</c:v>
                </c:pt>
                <c:pt idx="2">
                  <c:v>Mar-25</c:v>
                </c:pt>
                <c:pt idx="3">
                  <c:v>Apr-25</c:v>
                </c:pt>
                <c:pt idx="4">
                  <c:v>May-25</c:v>
                </c:pt>
                <c:pt idx="5">
                  <c:v>Jun-25</c:v>
                </c:pt>
                <c:pt idx="6">
                  <c:v>Jul-25</c:v>
                </c:pt>
                <c:pt idx="7">
                  <c:v>Aug-25</c:v>
                </c:pt>
                <c:pt idx="8">
                  <c:v>Sep-25</c:v>
                </c:pt>
                <c:pt idx="9">
                  <c:v>Oct-25</c:v>
                </c:pt>
                <c:pt idx="10">
                  <c:v>Nov-25</c:v>
                </c:pt>
                <c:pt idx="11">
                  <c:v>Dec-25</c:v>
                </c:pt>
              </c:strCache>
            </c:strRef>
          </c:cat>
          <c:val>
            <c:numRef>
              <c:f>'KPI Dashboard'!$C$38:$N$38</c:f>
              <c:numCache>
                <c:formatCode>#,##0;\(#,##0\);\-</c:formatCode>
                <c:ptCount val="12"/>
                <c:pt idx="0">
                  <c:v>2431.9</c:v>
                </c:pt>
                <c:pt idx="1">
                  <c:v>2733.4</c:v>
                </c:pt>
                <c:pt idx="2">
                  <c:v>2444.4</c:v>
                </c:pt>
                <c:pt idx="3">
                  <c:v>1505.1</c:v>
                </c:pt>
                <c:pt idx="4">
                  <c:v>462.099999999999</c:v>
                </c:pt>
                <c:pt idx="5">
                  <c:v>1034</c:v>
                </c:pt>
                <c:pt idx="6">
                  <c:v>326.5</c:v>
                </c:pt>
                <c:pt idx="7">
                  <c:v>-162.1</c:v>
                </c:pt>
                <c:pt idx="8">
                  <c:v>-313.000000000001</c:v>
                </c:pt>
                <c:pt idx="9">
                  <c:v>56.4999999999991</c:v>
                </c:pt>
                <c:pt idx="10">
                  <c:v>0.299999999999272</c:v>
                </c:pt>
                <c:pt idx="11">
                  <c:v>247.4</c:v>
                </c:pt>
              </c:numCache>
            </c:numRef>
          </c:val>
          <c:smooth val="0"/>
        </c:ser>
        <c:hiLowLines>
          <c:spPr>
            <a:ln w="0">
              <a:noFill/>
            </a:ln>
          </c:spPr>
        </c:hiLowLines>
        <c:marker val="0"/>
        <c:axId val="1640234"/>
        <c:axId val="51254653"/>
      </c:lineChart>
      <c:catAx>
        <c:axId val="27987945"/>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7331960"/>
        <c:crosses val="autoZero"/>
        <c:auto val="1"/>
        <c:lblAlgn val="ctr"/>
        <c:lblOffset val="100"/>
        <c:noMultiLvlLbl val="0"/>
      </c:catAx>
      <c:valAx>
        <c:axId val="37331960"/>
        <c:scaling>
          <c:orientation val="minMax"/>
        </c:scaling>
        <c:delete val="0"/>
        <c:axPos val="l"/>
        <c:majorGridlines>
          <c:spPr>
            <a:ln w="9360">
              <a:solidFill>
                <a:srgbClr val="e4e7ec"/>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EUR '000</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7987945"/>
        <c:crosses val="autoZero"/>
        <c:crossBetween val="between"/>
      </c:valAx>
      <c:catAx>
        <c:axId val="1640234"/>
        <c:scaling>
          <c:orientation val="minMax"/>
        </c:scaling>
        <c:delete val="0"/>
        <c:axPos val="t"/>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1254653"/>
        <c:crosses val="autoZero"/>
        <c:auto val="1"/>
        <c:lblAlgn val="ctr"/>
        <c:lblOffset val="100"/>
        <c:noMultiLvlLbl val="0"/>
      </c:catAx>
      <c:valAx>
        <c:axId val="51254653"/>
        <c:scaling>
          <c:orientation val="minMax"/>
        </c:scaling>
        <c:delete val="0"/>
        <c:axPos val="r"/>
        <c:title>
          <c:tx>
            <c:rich>
              <a:bodyPr rot="-5400000"/>
              <a:lstStyle/>
              <a:p>
                <a:pPr>
                  <a:defRPr b="1" sz="1000" spc="-1" strike="noStrike">
                    <a:solidFill>
                      <a:srgbClr val="000000"/>
                    </a:solidFill>
                    <a:latin typeface="Calibri"/>
                  </a:defRPr>
                </a:pPr>
                <a:r>
                  <a:rPr b="1" sz="1000" spc="-1" strike="noStrike">
                    <a:solidFill>
                      <a:srgbClr val="000000"/>
                    </a:solidFill>
                    <a:latin typeface="Calibri"/>
                  </a:rPr>
                  <a:t>Net debt</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640234"/>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43</xdr:row>
      <xdr:rowOff>130680</xdr:rowOff>
    </xdr:from>
    <xdr:to>
      <xdr:col>8</xdr:col>
      <xdr:colOff>118080</xdr:colOff>
      <xdr:row>59</xdr:row>
      <xdr:rowOff>34200</xdr:rowOff>
    </xdr:to>
    <xdr:graphicFrame>
      <xdr:nvGraphicFramePr>
        <xdr:cNvPr id="0" name="Chart 1"/>
        <xdr:cNvGraphicFramePr/>
      </xdr:nvGraphicFramePr>
      <xdr:xfrm>
        <a:off x="141120" y="8381880"/>
        <a:ext cx="7379640" cy="2951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60</xdr:row>
      <xdr:rowOff>130680</xdr:rowOff>
    </xdr:from>
    <xdr:to>
      <xdr:col>8</xdr:col>
      <xdr:colOff>118080</xdr:colOff>
      <xdr:row>76</xdr:row>
      <xdr:rowOff>34560</xdr:rowOff>
    </xdr:to>
    <xdr:graphicFrame>
      <xdr:nvGraphicFramePr>
        <xdr:cNvPr id="1" name="Chart 2"/>
        <xdr:cNvGraphicFramePr/>
      </xdr:nvGraphicFramePr>
      <xdr:xfrm>
        <a:off x="141120" y="11620440"/>
        <a:ext cx="7379640" cy="2951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77</xdr:row>
      <xdr:rowOff>130680</xdr:rowOff>
    </xdr:from>
    <xdr:to>
      <xdr:col>8</xdr:col>
      <xdr:colOff>118080</xdr:colOff>
      <xdr:row>93</xdr:row>
      <xdr:rowOff>34560</xdr:rowOff>
    </xdr:to>
    <xdr:graphicFrame>
      <xdr:nvGraphicFramePr>
        <xdr:cNvPr id="2" name="Chart 3"/>
        <xdr:cNvGraphicFramePr/>
      </xdr:nvGraphicFramePr>
      <xdr:xfrm>
        <a:off x="141120" y="14859000"/>
        <a:ext cx="7379640" cy="295164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552"/>
    <pageSetUpPr fitToPage="true"/>
  </sheetPr>
  <dimension ref="B2:C5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4"/>
    <col collapsed="false" customWidth="true" hidden="false" outlineLevel="0" max="3" min="3" style="0" width="78"/>
  </cols>
  <sheetData>
    <row r="2" customFormat="false" ht="24.45" hidden="false" customHeight="false" outlineLevel="0" collapsed="false">
      <c r="B2" s="1" t="s">
        <v>0</v>
      </c>
    </row>
    <row r="4" customFormat="false" ht="16.15" hidden="false" customHeight="false" outlineLevel="0" collapsed="false">
      <c r="B4" s="2" t="s">
        <v>1</v>
      </c>
    </row>
    <row r="5" customFormat="false" ht="15" hidden="false" customHeight="false" outlineLevel="0" collapsed="false">
      <c r="B5" s="3" t="s">
        <v>2</v>
      </c>
    </row>
    <row r="8" customFormat="false" ht="15" hidden="false" customHeight="false" outlineLevel="0" collapsed="false">
      <c r="B8" s="4" t="s">
        <v>3</v>
      </c>
      <c r="C8" s="5"/>
    </row>
    <row r="9" customFormat="false" ht="13.5" hidden="false" customHeight="true" outlineLevel="0" collapsed="false">
      <c r="B9" s="6" t="s">
        <v>4</v>
      </c>
      <c r="C9" s="7" t="s">
        <v>5</v>
      </c>
    </row>
    <row r="10" customFormat="false" ht="13.5" hidden="false" customHeight="true" outlineLevel="0" collapsed="false">
      <c r="B10" s="6" t="s">
        <v>6</v>
      </c>
      <c r="C10" s="7" t="s">
        <v>7</v>
      </c>
    </row>
    <row r="11" customFormat="false" ht="13.5" hidden="false" customHeight="true" outlineLevel="0" collapsed="false">
      <c r="B11" s="6" t="s">
        <v>8</v>
      </c>
      <c r="C11" s="7" t="s">
        <v>9</v>
      </c>
    </row>
    <row r="12" customFormat="false" ht="13.5" hidden="false" customHeight="true" outlineLevel="0" collapsed="false">
      <c r="B12" s="6" t="s">
        <v>10</v>
      </c>
      <c r="C12" s="7" t="s">
        <v>11</v>
      </c>
    </row>
    <row r="13" customFormat="false" ht="13.5" hidden="false" customHeight="true" outlineLevel="0" collapsed="false">
      <c r="B13" s="6" t="s">
        <v>12</v>
      </c>
      <c r="C13" s="7" t="s">
        <v>13</v>
      </c>
    </row>
    <row r="14" customFormat="false" ht="13.5" hidden="false" customHeight="true" outlineLevel="0" collapsed="false">
      <c r="B14" s="6" t="s">
        <v>14</v>
      </c>
      <c r="C14" s="7" t="s">
        <v>15</v>
      </c>
    </row>
    <row r="16" customFormat="false" ht="15" hidden="false" customHeight="false" outlineLevel="0" collapsed="false">
      <c r="B16" s="4" t="s">
        <v>16</v>
      </c>
      <c r="C16" s="5"/>
    </row>
    <row r="17" customFormat="false" ht="13.5" hidden="false" customHeight="true" outlineLevel="0" collapsed="false">
      <c r="B17" s="6" t="s">
        <v>17</v>
      </c>
      <c r="C17" s="7" t="s">
        <v>18</v>
      </c>
    </row>
    <row r="18" customFormat="false" ht="25.5" hidden="false" customHeight="true" outlineLevel="0" collapsed="false">
      <c r="B18" s="6" t="s">
        <v>19</v>
      </c>
      <c r="C18" s="7" t="s">
        <v>20</v>
      </c>
    </row>
    <row r="19" customFormat="false" ht="25.5" hidden="false" customHeight="true" outlineLevel="0" collapsed="false">
      <c r="B19" s="6" t="s">
        <v>21</v>
      </c>
      <c r="C19" s="7" t="s">
        <v>22</v>
      </c>
    </row>
    <row r="20" customFormat="false" ht="13.5" hidden="false" customHeight="true" outlineLevel="0" collapsed="false">
      <c r="B20" s="6" t="s">
        <v>23</v>
      </c>
      <c r="C20" s="7" t="s">
        <v>24</v>
      </c>
    </row>
    <row r="21" customFormat="false" ht="13.5" hidden="false" customHeight="true" outlineLevel="0" collapsed="false">
      <c r="B21" s="6" t="s">
        <v>25</v>
      </c>
      <c r="C21" s="7" t="s">
        <v>26</v>
      </c>
    </row>
    <row r="22" customFormat="false" ht="25.5" hidden="false" customHeight="true" outlineLevel="0" collapsed="false">
      <c r="B22" s="6" t="s">
        <v>27</v>
      </c>
      <c r="C22" s="7" t="s">
        <v>28</v>
      </c>
    </row>
    <row r="23" customFormat="false" ht="13.5" hidden="false" customHeight="true" outlineLevel="0" collapsed="false">
      <c r="B23" s="6" t="s">
        <v>29</v>
      </c>
      <c r="C23" s="7" t="s">
        <v>30</v>
      </c>
    </row>
    <row r="25" customFormat="false" ht="15" hidden="false" customHeight="false" outlineLevel="0" collapsed="false">
      <c r="B25" s="4" t="s">
        <v>31</v>
      </c>
      <c r="C25" s="5"/>
    </row>
    <row r="26" customFormat="false" ht="25.5" hidden="false" customHeight="true" outlineLevel="0" collapsed="false">
      <c r="B26" s="6" t="s">
        <v>32</v>
      </c>
      <c r="C26" s="7" t="s">
        <v>33</v>
      </c>
    </row>
    <row r="27" customFormat="false" ht="25.5" hidden="false" customHeight="true" outlineLevel="0" collapsed="false">
      <c r="B27" s="6" t="s">
        <v>34</v>
      </c>
      <c r="C27" s="7" t="s">
        <v>35</v>
      </c>
    </row>
    <row r="28" customFormat="false" ht="25.5" hidden="false" customHeight="true" outlineLevel="0" collapsed="false">
      <c r="B28" s="6" t="s">
        <v>36</v>
      </c>
      <c r="C28" s="7" t="s">
        <v>37</v>
      </c>
    </row>
    <row r="29" customFormat="false" ht="25.5" hidden="false" customHeight="true" outlineLevel="0" collapsed="false">
      <c r="B29" s="6" t="s">
        <v>38</v>
      </c>
      <c r="C29" s="7" t="s">
        <v>39</v>
      </c>
    </row>
    <row r="31" customFormat="false" ht="15" hidden="false" customHeight="false" outlineLevel="0" collapsed="false">
      <c r="B31" s="4" t="s">
        <v>40</v>
      </c>
      <c r="C31" s="5"/>
    </row>
    <row r="32" customFormat="false" ht="13.5" hidden="false" customHeight="true" outlineLevel="0" collapsed="false">
      <c r="B32" s="6" t="s">
        <v>41</v>
      </c>
      <c r="C32" s="7" t="s">
        <v>42</v>
      </c>
    </row>
    <row r="33" customFormat="false" ht="13.5" hidden="false" customHeight="true" outlineLevel="0" collapsed="false">
      <c r="B33" s="6" t="s">
        <v>43</v>
      </c>
      <c r="C33" s="7" t="s">
        <v>44</v>
      </c>
    </row>
    <row r="34" customFormat="false" ht="13.5" hidden="false" customHeight="true" outlineLevel="0" collapsed="false">
      <c r="B34" s="6" t="s">
        <v>45</v>
      </c>
      <c r="C34" s="7" t="s">
        <v>46</v>
      </c>
    </row>
    <row r="35" customFormat="false" ht="13.5" hidden="false" customHeight="true" outlineLevel="0" collapsed="false">
      <c r="B35" s="6" t="s">
        <v>47</v>
      </c>
      <c r="C35" s="7" t="s">
        <v>48</v>
      </c>
    </row>
    <row r="37" customFormat="false" ht="15" hidden="false" customHeight="false" outlineLevel="0" collapsed="false">
      <c r="B37" s="4" t="s">
        <v>49</v>
      </c>
      <c r="C37" s="5"/>
    </row>
    <row r="38" customFormat="false" ht="25.5" hidden="false" customHeight="true" outlineLevel="0" collapsed="false">
      <c r="B38" s="6" t="s">
        <v>50</v>
      </c>
      <c r="C38" s="8" t="s">
        <v>51</v>
      </c>
    </row>
    <row r="41" customFormat="false" ht="15" hidden="false" customHeight="false" outlineLevel="0" collapsed="false">
      <c r="B41" s="4" t="s">
        <v>52</v>
      </c>
      <c r="C41" s="5"/>
    </row>
    <row r="42" customFormat="false" ht="15" hidden="false" customHeight="false" outlineLevel="0" collapsed="false">
      <c r="B42" s="9" t="s">
        <v>53</v>
      </c>
      <c r="C42" s="10" t="s">
        <v>54</v>
      </c>
    </row>
    <row r="43" customFormat="false" ht="15" hidden="false" customHeight="false" outlineLevel="0" collapsed="false">
      <c r="B43" s="9" t="s">
        <v>55</v>
      </c>
      <c r="C43" s="10" t="s">
        <v>56</v>
      </c>
    </row>
    <row r="44" customFormat="false" ht="15" hidden="false" customHeight="false" outlineLevel="0" collapsed="false">
      <c r="B44" s="9" t="s">
        <v>57</v>
      </c>
      <c r="C44" s="10" t="s">
        <v>58</v>
      </c>
    </row>
    <row r="45" customFormat="false" ht="15" hidden="false" customHeight="false" outlineLevel="0" collapsed="false">
      <c r="B45" s="9" t="s">
        <v>59</v>
      </c>
      <c r="C45" s="10" t="s">
        <v>60</v>
      </c>
    </row>
    <row r="46" customFormat="false" ht="15" hidden="false" customHeight="false" outlineLevel="0" collapsed="false">
      <c r="B46" s="9" t="s">
        <v>61</v>
      </c>
      <c r="C46" s="10" t="s">
        <v>62</v>
      </c>
    </row>
    <row r="47" customFormat="false" ht="15" hidden="false" customHeight="false" outlineLevel="0" collapsed="false">
      <c r="B47" s="9" t="s">
        <v>63</v>
      </c>
      <c r="C47" s="10" t="s">
        <v>64</v>
      </c>
    </row>
    <row r="48" customFormat="false" ht="15" hidden="false" customHeight="false" outlineLevel="0" collapsed="false">
      <c r="B48" s="9" t="s">
        <v>65</v>
      </c>
      <c r="C48" s="10" t="s">
        <v>66</v>
      </c>
    </row>
    <row r="49" customFormat="false" ht="15" hidden="false" customHeight="false" outlineLevel="0" collapsed="false">
      <c r="B49" s="9" t="s">
        <v>67</v>
      </c>
      <c r="C49" s="10" t="s">
        <v>68</v>
      </c>
    </row>
    <row r="50" customFormat="false" ht="15" hidden="false" customHeight="false" outlineLevel="0" collapsed="false">
      <c r="B50" s="9" t="s">
        <v>69</v>
      </c>
      <c r="C50" s="10" t="s">
        <v>70</v>
      </c>
    </row>
    <row r="51" customFormat="false" ht="15" hidden="false" customHeight="false" outlineLevel="0" collapsed="false">
      <c r="B51" s="9" t="s">
        <v>71</v>
      </c>
      <c r="C51" s="10" t="s">
        <v>72</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08D3F"/>
    <pageSetUpPr fitToPage="true"/>
  </sheetPr>
  <dimension ref="A1:O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0"/>
    <col collapsed="false" customWidth="true" hidden="false" outlineLevel="0" max="15" min="3" style="0" width="10.51"/>
  </cols>
  <sheetData>
    <row r="1" customFormat="false" ht="15" hidden="false" customHeight="false" outlineLevel="0" collapsed="false">
      <c r="A1" s="11" t="s">
        <v>0</v>
      </c>
    </row>
    <row r="2" customFormat="false" ht="19.7" hidden="false" customHeight="false" outlineLevel="0" collapsed="false">
      <c r="A2" s="12" t="s">
        <v>67</v>
      </c>
    </row>
    <row r="3" customFormat="false" ht="15" hidden="false" customHeight="false" outlineLevel="0" collapsed="false">
      <c r="A3" s="13" t="s">
        <v>407</v>
      </c>
    </row>
    <row r="6" customFormat="false" ht="15" hidden="false" customHeight="false" outlineLevel="0" collapsed="false">
      <c r="B6" s="15"/>
      <c r="C6" s="15" t="s">
        <v>154</v>
      </c>
      <c r="D6" s="15" t="s">
        <v>155</v>
      </c>
      <c r="E6" s="15" t="s">
        <v>156</v>
      </c>
      <c r="F6" s="15" t="s">
        <v>157</v>
      </c>
      <c r="G6" s="15" t="s">
        <v>158</v>
      </c>
      <c r="H6" s="15" t="s">
        <v>159</v>
      </c>
      <c r="I6" s="15" t="s">
        <v>160</v>
      </c>
      <c r="J6" s="15" t="s">
        <v>161</v>
      </c>
      <c r="K6" s="15" t="s">
        <v>162</v>
      </c>
      <c r="L6" s="15" t="s">
        <v>163</v>
      </c>
      <c r="M6" s="15" t="s">
        <v>164</v>
      </c>
      <c r="N6" s="15" t="s">
        <v>165</v>
      </c>
      <c r="O6" s="15" t="s">
        <v>332</v>
      </c>
    </row>
    <row r="8" customFormat="false" ht="15" hidden="false" customHeight="false" outlineLevel="0" collapsed="false">
      <c r="B8" s="49" t="s">
        <v>408</v>
      </c>
      <c r="C8" s="50"/>
      <c r="D8" s="50"/>
      <c r="E8" s="50"/>
      <c r="F8" s="50"/>
      <c r="G8" s="50"/>
      <c r="H8" s="50"/>
      <c r="I8" s="50"/>
      <c r="J8" s="50"/>
      <c r="K8" s="50"/>
      <c r="L8" s="50"/>
      <c r="M8" s="50"/>
      <c r="N8" s="50"/>
      <c r="O8" s="50"/>
    </row>
    <row r="9" customFormat="false" ht="15" hidden="false" customHeight="false" outlineLevel="0" collapsed="false">
      <c r="B9" s="36" t="s">
        <v>334</v>
      </c>
      <c r="C9" s="37" t="n">
        <f aca="false">'P&amp;L Monthly'!C13</f>
        <v>3727.2</v>
      </c>
      <c r="D9" s="37" t="n">
        <f aca="false">'P&amp;L Monthly'!D13</f>
        <v>3537.6</v>
      </c>
      <c r="E9" s="37" t="n">
        <f aca="false">'P&amp;L Monthly'!E13</f>
        <v>3316.6</v>
      </c>
      <c r="F9" s="37" t="n">
        <f aca="false">'P&amp;L Monthly'!F13</f>
        <v>2906</v>
      </c>
      <c r="G9" s="37" t="n">
        <f aca="false">'P&amp;L Monthly'!G13</f>
        <v>2684.9</v>
      </c>
      <c r="H9" s="37" t="n">
        <f aca="false">'P&amp;L Monthly'!H13</f>
        <v>2446.4</v>
      </c>
      <c r="I9" s="37" t="n">
        <f aca="false">'P&amp;L Monthly'!I13</f>
        <v>2258.2</v>
      </c>
      <c r="J9" s="37" t="n">
        <f aca="false">'P&amp;L Monthly'!J13</f>
        <v>2509</v>
      </c>
      <c r="K9" s="37" t="n">
        <f aca="false">'P&amp;L Monthly'!K13</f>
        <v>3199.2</v>
      </c>
      <c r="L9" s="37" t="n">
        <f aca="false">'P&amp;L Monthly'!L13</f>
        <v>3763.7</v>
      </c>
      <c r="M9" s="37" t="n">
        <f aca="false">'P&amp;L Monthly'!M13</f>
        <v>3920.5</v>
      </c>
      <c r="N9" s="37" t="n">
        <f aca="false">'P&amp;L Monthly'!N13</f>
        <v>3481.3</v>
      </c>
      <c r="O9" s="38" t="n">
        <f aca="false">'P&amp;L Monthly'!O13</f>
        <v>37750.6</v>
      </c>
    </row>
    <row r="10" customFormat="false" ht="15" hidden="false" customHeight="false" outlineLevel="0" collapsed="false">
      <c r="B10" s="36" t="s">
        <v>336</v>
      </c>
      <c r="C10" s="37" t="n">
        <f aca="false">'P&amp;L Monthly'!C19</f>
        <v>1481</v>
      </c>
      <c r="D10" s="37" t="n">
        <f aca="false">'P&amp;L Monthly'!D19</f>
        <v>1404.9</v>
      </c>
      <c r="E10" s="37" t="n">
        <f aca="false">'P&amp;L Monthly'!E19</f>
        <v>1313</v>
      </c>
      <c r="F10" s="37" t="n">
        <f aca="false">'P&amp;L Monthly'!F19</f>
        <v>1148.3</v>
      </c>
      <c r="G10" s="37" t="n">
        <f aca="false">'P&amp;L Monthly'!G19</f>
        <v>1059.7</v>
      </c>
      <c r="H10" s="37" t="n">
        <f aca="false">'P&amp;L Monthly'!H19</f>
        <v>913.1</v>
      </c>
      <c r="I10" s="37" t="n">
        <f aca="false">'P&amp;L Monthly'!I19</f>
        <v>888.5</v>
      </c>
      <c r="J10" s="37" t="n">
        <f aca="false">'P&amp;L Monthly'!J19</f>
        <v>989.1</v>
      </c>
      <c r="K10" s="37" t="n">
        <f aca="false">'P&amp;L Monthly'!K19</f>
        <v>1265.9</v>
      </c>
      <c r="L10" s="37" t="n">
        <f aca="false">'P&amp;L Monthly'!L19</f>
        <v>1488.9</v>
      </c>
      <c r="M10" s="37" t="n">
        <f aca="false">'P&amp;L Monthly'!M19</f>
        <v>1483.9</v>
      </c>
      <c r="N10" s="37" t="n">
        <f aca="false">'P&amp;L Monthly'!N19</f>
        <v>1362</v>
      </c>
      <c r="O10" s="38" t="n">
        <f aca="false">'P&amp;L Monthly'!O19</f>
        <v>14798.3</v>
      </c>
    </row>
    <row r="11" customFormat="false" ht="15" hidden="false" customHeight="false" outlineLevel="0" collapsed="false">
      <c r="B11" s="36" t="s">
        <v>409</v>
      </c>
      <c r="C11" s="51" t="n">
        <f aca="false">IFERROR('P&amp;L Monthly'!C19/'P&amp;L Monthly'!C13,0)</f>
        <v>0.39734921657008</v>
      </c>
      <c r="D11" s="51" t="n">
        <f aca="false">IFERROR('P&amp;L Monthly'!D19/'P&amp;L Monthly'!D13,0)</f>
        <v>0.397133649932157</v>
      </c>
      <c r="E11" s="51" t="n">
        <f aca="false">IFERROR('P&amp;L Monthly'!E19/'P&amp;L Monthly'!E13,0)</f>
        <v>0.395887354519689</v>
      </c>
      <c r="F11" s="51" t="n">
        <f aca="false">IFERROR('P&amp;L Monthly'!F19/'P&amp;L Monthly'!F13,0)</f>
        <v>0.395147969717825</v>
      </c>
      <c r="G11" s="51" t="n">
        <f aca="false">IFERROR('P&amp;L Monthly'!G19/'P&amp;L Monthly'!G13,0)</f>
        <v>0.394688815225893</v>
      </c>
      <c r="H11" s="51" t="n">
        <f aca="false">IFERROR('P&amp;L Monthly'!H19/'P&amp;L Monthly'!H13,0)</f>
        <v>0.373242315238718</v>
      </c>
      <c r="I11" s="51" t="n">
        <f aca="false">IFERROR('P&amp;L Monthly'!I19/'P&amp;L Monthly'!I13,0)</f>
        <v>0.393454964130724</v>
      </c>
      <c r="J11" s="51" t="n">
        <f aca="false">IFERROR('P&amp;L Monthly'!J19/'P&amp;L Monthly'!J13,0)</f>
        <v>0.394220805101634</v>
      </c>
      <c r="K11" s="51" t="n">
        <f aca="false">IFERROR('P&amp;L Monthly'!K19/'P&amp;L Monthly'!K13,0)</f>
        <v>0.395692673168292</v>
      </c>
      <c r="L11" s="51" t="n">
        <f aca="false">IFERROR('P&amp;L Monthly'!L19/'P&amp;L Monthly'!L13,0)</f>
        <v>0.395594760475064</v>
      </c>
      <c r="M11" s="51" t="n">
        <f aca="false">IFERROR('P&amp;L Monthly'!M19/'P&amp;L Monthly'!M13,0)</f>
        <v>0.378497640607066</v>
      </c>
      <c r="N11" s="51" t="n">
        <f aca="false">IFERROR('P&amp;L Monthly'!N19/'P&amp;L Monthly'!N13,0)</f>
        <v>0.391233160026427</v>
      </c>
      <c r="O11" s="52" t="n">
        <f aca="false">IFERROR('P&amp;L Monthly'!O19/'P&amp;L Monthly'!O13,0)</f>
        <v>0.392001716529009</v>
      </c>
    </row>
    <row r="12" customFormat="false" ht="15" hidden="false" customHeight="false" outlineLevel="0" collapsed="false">
      <c r="B12" s="36" t="s">
        <v>338</v>
      </c>
      <c r="C12" s="37" t="n">
        <f aca="false">'P&amp;L Monthly'!C32</f>
        <v>608.2</v>
      </c>
      <c r="D12" s="37" t="n">
        <f aca="false">'P&amp;L Monthly'!D32</f>
        <v>520.1</v>
      </c>
      <c r="E12" s="37" t="n">
        <f aca="false">'P&amp;L Monthly'!E32</f>
        <v>438</v>
      </c>
      <c r="F12" s="37" t="n">
        <f aca="false">'P&amp;L Monthly'!F32</f>
        <v>353.3</v>
      </c>
      <c r="G12" s="37" t="n">
        <f aca="false">'P&amp;L Monthly'!G32</f>
        <v>310.7</v>
      </c>
      <c r="H12" s="37" t="n">
        <f aca="false">'P&amp;L Monthly'!H32</f>
        <v>204.8</v>
      </c>
      <c r="I12" s="37" t="n">
        <f aca="false">'P&amp;L Monthly'!I32</f>
        <v>209.1</v>
      </c>
      <c r="J12" s="37" t="n">
        <f aca="false">'P&amp;L Monthly'!J32</f>
        <v>245.5</v>
      </c>
      <c r="K12" s="37" t="n">
        <f aca="false">'P&amp;L Monthly'!K32</f>
        <v>338.8</v>
      </c>
      <c r="L12" s="37" t="n">
        <f aca="false">'P&amp;L Monthly'!L32</f>
        <v>470.599999999999</v>
      </c>
      <c r="M12" s="37" t="n">
        <f aca="false">'P&amp;L Monthly'!M32</f>
        <v>466.300000000001</v>
      </c>
      <c r="N12" s="37" t="n">
        <f aca="false">'P&amp;L Monthly'!N32</f>
        <v>133.5</v>
      </c>
      <c r="O12" s="38" t="n">
        <f aca="false">'P&amp;L Monthly'!O32</f>
        <v>4298.9</v>
      </c>
    </row>
    <row r="13" customFormat="false" ht="15" hidden="false" customHeight="false" outlineLevel="0" collapsed="false">
      <c r="B13" s="36" t="s">
        <v>410</v>
      </c>
      <c r="C13" s="51" t="n">
        <f aca="false">IFERROR('P&amp;L Monthly'!C32/'P&amp;L Monthly'!C13,0)</f>
        <v>0.163178793732561</v>
      </c>
      <c r="D13" s="51" t="n">
        <f aca="false">IFERROR('P&amp;L Monthly'!D32/'P&amp;L Monthly'!D13,0)</f>
        <v>0.147020578923564</v>
      </c>
      <c r="E13" s="51" t="n">
        <f aca="false">IFERROR('P&amp;L Monthly'!E32/'P&amp;L Monthly'!E13,0)</f>
        <v>0.132062956039317</v>
      </c>
      <c r="F13" s="51" t="n">
        <f aca="false">IFERROR('P&amp;L Monthly'!F32/'P&amp;L Monthly'!F13,0)</f>
        <v>0.12157604955265</v>
      </c>
      <c r="G13" s="51" t="n">
        <f aca="false">IFERROR('P&amp;L Monthly'!G32/'P&amp;L Monthly'!G13,0)</f>
        <v>0.115721255912697</v>
      </c>
      <c r="H13" s="51" t="n">
        <f aca="false">IFERROR('P&amp;L Monthly'!H32/'P&amp;L Monthly'!H13,0)</f>
        <v>0.0837148463047744</v>
      </c>
      <c r="I13" s="51" t="n">
        <f aca="false">IFERROR('P&amp;L Monthly'!I32/'P&amp;L Monthly'!I13,0)</f>
        <v>0.0925958728190595</v>
      </c>
      <c r="J13" s="51" t="n">
        <f aca="false">IFERROR('P&amp;L Monthly'!J32/'P&amp;L Monthly'!J13,0)</f>
        <v>0.0978477481068154</v>
      </c>
      <c r="K13" s="51" t="n">
        <f aca="false">IFERROR('P&amp;L Monthly'!K32/'P&amp;L Monthly'!K13,0)</f>
        <v>0.105901475368842</v>
      </c>
      <c r="L13" s="51" t="n">
        <f aca="false">IFERROR('P&amp;L Monthly'!L32/'P&amp;L Monthly'!L13,0)</f>
        <v>0.125036533198714</v>
      </c>
      <c r="M13" s="51" t="n">
        <f aca="false">IFERROR('P&amp;L Monthly'!M32/'P&amp;L Monthly'!M13,0)</f>
        <v>0.118938910853208</v>
      </c>
      <c r="N13" s="51" t="n">
        <f aca="false">IFERROR('P&amp;L Monthly'!N32/'P&amp;L Monthly'!N13,0)</f>
        <v>0.038347743658978</v>
      </c>
      <c r="O13" s="52" t="n">
        <f aca="false">IFERROR('P&amp;L Monthly'!O32/'P&amp;L Monthly'!O13,0)</f>
        <v>0.113876335740359</v>
      </c>
    </row>
    <row r="14" customFormat="false" ht="15" hidden="false" customHeight="false" outlineLevel="0" collapsed="false">
      <c r="B14" s="36" t="s">
        <v>340</v>
      </c>
      <c r="C14" s="37" t="n">
        <f aca="false">'P&amp;L Monthly'!C38</f>
        <v>518.4</v>
      </c>
      <c r="D14" s="37" t="n">
        <f aca="false">'P&amp;L Monthly'!D38</f>
        <v>430.3</v>
      </c>
      <c r="E14" s="37" t="n">
        <f aca="false">'P&amp;L Monthly'!E38</f>
        <v>348.2</v>
      </c>
      <c r="F14" s="37" t="n">
        <f aca="false">'P&amp;L Monthly'!F38</f>
        <v>263.5</v>
      </c>
      <c r="G14" s="37" t="n">
        <f aca="false">'P&amp;L Monthly'!G38</f>
        <v>220.9</v>
      </c>
      <c r="H14" s="37" t="n">
        <f aca="false">'P&amp;L Monthly'!H38</f>
        <v>115</v>
      </c>
      <c r="I14" s="37" t="n">
        <f aca="false">'P&amp;L Monthly'!I38</f>
        <v>119.3</v>
      </c>
      <c r="J14" s="37" t="n">
        <f aca="false">'P&amp;L Monthly'!J38</f>
        <v>155.7</v>
      </c>
      <c r="K14" s="37" t="n">
        <f aca="false">'P&amp;L Monthly'!K38</f>
        <v>249</v>
      </c>
      <c r="L14" s="37" t="n">
        <f aca="false">'P&amp;L Monthly'!L38</f>
        <v>380.799999999999</v>
      </c>
      <c r="M14" s="37" t="n">
        <f aca="false">'P&amp;L Monthly'!M38</f>
        <v>376.500000000001</v>
      </c>
      <c r="N14" s="37" t="n">
        <f aca="false">'P&amp;L Monthly'!N38</f>
        <v>43.7000000000002</v>
      </c>
      <c r="O14" s="38" t="n">
        <f aca="false">'P&amp;L Monthly'!O38</f>
        <v>3221.3</v>
      </c>
    </row>
    <row r="15" customFormat="false" ht="15" hidden="false" customHeight="false" outlineLevel="0" collapsed="false">
      <c r="B15" s="36" t="s">
        <v>344</v>
      </c>
      <c r="C15" s="37" t="n">
        <f aca="false">'P&amp;L Monthly'!C49</f>
        <v>441.6</v>
      </c>
      <c r="D15" s="37" t="n">
        <f aca="false">'P&amp;L Monthly'!D49</f>
        <v>361.6</v>
      </c>
      <c r="E15" s="37" t="n">
        <f aca="false">'P&amp;L Monthly'!E49</f>
        <v>286.9</v>
      </c>
      <c r="F15" s="37" t="n">
        <f aca="false">'P&amp;L Monthly'!F49</f>
        <v>210.9</v>
      </c>
      <c r="G15" s="37" t="n">
        <f aca="false">'P&amp;L Monthly'!G49</f>
        <v>171.8</v>
      </c>
      <c r="H15" s="37" t="n">
        <f aca="false">'P&amp;L Monthly'!H49</f>
        <v>75.7000000000001</v>
      </c>
      <c r="I15" s="37" t="n">
        <f aca="false">'P&amp;L Monthly'!I49</f>
        <v>82.9000000000003</v>
      </c>
      <c r="J15" s="37" t="n">
        <f aca="false">'P&amp;L Monthly'!J49</f>
        <v>116.9</v>
      </c>
      <c r="K15" s="37" t="n">
        <f aca="false">'P&amp;L Monthly'!K49</f>
        <v>198.9</v>
      </c>
      <c r="L15" s="37" t="n">
        <f aca="false">'P&amp;L Monthly'!L49</f>
        <v>317.399999999999</v>
      </c>
      <c r="M15" s="37" t="n">
        <f aca="false">'P&amp;L Monthly'!M49</f>
        <v>311.100000000001</v>
      </c>
      <c r="N15" s="37" t="n">
        <f aca="false">'P&amp;L Monthly'!N49</f>
        <v>13.1000000000002</v>
      </c>
      <c r="O15" s="38" t="n">
        <f aca="false">'P&amp;L Monthly'!O49</f>
        <v>2588.8</v>
      </c>
    </row>
    <row r="17" customFormat="false" ht="15" hidden="false" customHeight="false" outlineLevel="0" collapsed="false">
      <c r="B17" s="49" t="s">
        <v>411</v>
      </c>
      <c r="C17" s="50"/>
      <c r="D17" s="50"/>
      <c r="E17" s="50"/>
      <c r="F17" s="50"/>
      <c r="G17" s="50"/>
      <c r="H17" s="50"/>
      <c r="I17" s="50"/>
      <c r="J17" s="50"/>
      <c r="K17" s="50"/>
      <c r="L17" s="50"/>
      <c r="M17" s="50"/>
      <c r="N17" s="50"/>
      <c r="O17" s="50"/>
    </row>
    <row r="18" customFormat="false" ht="15" hidden="false" customHeight="false" outlineLevel="0" collapsed="false">
      <c r="B18" s="36" t="s">
        <v>412</v>
      </c>
      <c r="C18" s="37" t="n">
        <f aca="false">-(SUMIFS('TB Actual'!F$7:F$60,'TB Actual'!$B$7:$B$60,"6110"))</f>
        <v>2511.8</v>
      </c>
      <c r="D18" s="37" t="n">
        <f aca="false">-(SUMIFS('TB Actual'!G$7:G$60,'TB Actual'!$B$7:$B$60,"6110"))</f>
        <v>2370.1</v>
      </c>
      <c r="E18" s="37" t="n">
        <f aca="false">-(SUMIFS('TB Actual'!H$7:H$60,'TB Actual'!$B$7:$B$60,"6110"))</f>
        <v>2208.9</v>
      </c>
      <c r="F18" s="37" t="n">
        <f aca="false">-(SUMIFS('TB Actual'!I$7:I$60,'TB Actual'!$B$7:$B$60,"6110"))</f>
        <v>1923.9</v>
      </c>
      <c r="G18" s="37" t="n">
        <f aca="false">-(SUMIFS('TB Actual'!J$7:J$60,'TB Actual'!$B$7:$B$60,"6110"))</f>
        <v>1766.9</v>
      </c>
      <c r="H18" s="37" t="n">
        <f aca="false">-(SUMIFS('TB Actual'!K$7:K$60,'TB Actual'!$B$7:$B$60,"6110"))</f>
        <v>1611.7</v>
      </c>
      <c r="I18" s="37" t="n">
        <f aca="false">-(SUMIFS('TB Actual'!L$7:L$60,'TB Actual'!$B$7:$B$60,"6110"))</f>
        <v>1478.7</v>
      </c>
      <c r="J18" s="37" t="n">
        <f aca="false">-(SUMIFS('TB Actual'!M$7:M$60,'TB Actual'!$B$7:$B$60,"6110"))</f>
        <v>1633</v>
      </c>
      <c r="K18" s="37" t="n">
        <f aca="false">-(SUMIFS('TB Actual'!N$7:N$60,'TB Actual'!$B$7:$B$60,"6110"))</f>
        <v>2069.4</v>
      </c>
      <c r="L18" s="37" t="n">
        <f aca="false">-(SUMIFS('TB Actual'!O$7:O$60,'TB Actual'!$B$7:$B$60,"6110"))</f>
        <v>2419.6</v>
      </c>
      <c r="M18" s="37" t="n">
        <f aca="false">-(SUMIFS('TB Actual'!P$7:P$60,'TB Actual'!$B$7:$B$60,"6110"))</f>
        <v>2504.8</v>
      </c>
      <c r="N18" s="37" t="n">
        <f aca="false">-(SUMIFS('TB Actual'!Q$7:Q$60,'TB Actual'!$B$7:$B$60,"6110"))</f>
        <v>2210.4</v>
      </c>
      <c r="O18" s="38" t="n">
        <f aca="false">SUM(C18:N18)</f>
        <v>24709.2</v>
      </c>
    </row>
    <row r="19" customFormat="false" ht="15" hidden="false" customHeight="false" outlineLevel="0" collapsed="false">
      <c r="B19" s="36" t="s">
        <v>413</v>
      </c>
      <c r="C19" s="37" t="n">
        <f aca="false">-(SUMIFS('TB Actual'!F$7:F$60,'TB Actual'!$B$7:$B$60,"6120"))</f>
        <v>1255.9</v>
      </c>
      <c r="D19" s="37" t="n">
        <f aca="false">-(SUMIFS('TB Actual'!G$7:G$60,'TB Actual'!$B$7:$B$60,"6120"))</f>
        <v>1185.1</v>
      </c>
      <c r="E19" s="37" t="n">
        <f aca="false">-(SUMIFS('TB Actual'!H$7:H$60,'TB Actual'!$B$7:$B$60,"6120"))</f>
        <v>1104.4</v>
      </c>
      <c r="F19" s="37" t="n">
        <f aca="false">-(SUMIFS('TB Actual'!I$7:I$60,'TB Actual'!$B$7:$B$60,"6120"))</f>
        <v>962</v>
      </c>
      <c r="G19" s="37" t="n">
        <f aca="false">-(SUMIFS('TB Actual'!J$7:J$60,'TB Actual'!$B$7:$B$60,"6120"))</f>
        <v>883.5</v>
      </c>
      <c r="H19" s="37" t="n">
        <f aca="false">-(SUMIFS('TB Actual'!K$7:K$60,'TB Actual'!$B$7:$B$60,"6120"))</f>
        <v>805.8</v>
      </c>
      <c r="I19" s="37" t="n">
        <f aca="false">-(SUMIFS('TB Actual'!L$7:L$60,'TB Actual'!$B$7:$B$60,"6120"))</f>
        <v>739.4</v>
      </c>
      <c r="J19" s="37" t="n">
        <f aca="false">-(SUMIFS('TB Actual'!M$7:M$60,'TB Actual'!$B$7:$B$60,"6120"))</f>
        <v>816.5</v>
      </c>
      <c r="K19" s="37" t="n">
        <f aca="false">-(SUMIFS('TB Actual'!N$7:N$60,'TB Actual'!$B$7:$B$60,"6120"))</f>
        <v>1034.7</v>
      </c>
      <c r="L19" s="37" t="n">
        <f aca="false">-(SUMIFS('TB Actual'!O$7:O$60,'TB Actual'!$B$7:$B$60,"6120"))</f>
        <v>1209.8</v>
      </c>
      <c r="M19" s="37" t="n">
        <f aca="false">-(SUMIFS('TB Actual'!P$7:P$60,'TB Actual'!$B$7:$B$60,"6120"))</f>
        <v>1252.4</v>
      </c>
      <c r="N19" s="37" t="n">
        <f aca="false">-(SUMIFS('TB Actual'!Q$7:Q$60,'TB Actual'!$B$7:$B$60,"6120"))</f>
        <v>1105.2</v>
      </c>
      <c r="O19" s="38" t="n">
        <f aca="false">SUM(C19:N19)</f>
        <v>12354.7</v>
      </c>
    </row>
    <row r="20" customFormat="false" ht="15" hidden="false" customHeight="false" outlineLevel="0" collapsed="false">
      <c r="B20" s="36" t="s">
        <v>414</v>
      </c>
      <c r="C20" s="37" t="n">
        <f aca="false">-(SUMIFS('TB Actual'!F$7:F$60,'TB Actual'!$B$7:$B$60,"6130"))</f>
        <v>283.6</v>
      </c>
      <c r="D20" s="37" t="n">
        <f aca="false">-(SUMIFS('TB Actual'!G$7:G$60,'TB Actual'!$B$7:$B$60,"6130"))</f>
        <v>290.1</v>
      </c>
      <c r="E20" s="37" t="n">
        <f aca="false">-(SUMIFS('TB Actual'!H$7:H$60,'TB Actual'!$B$7:$B$60,"6130"))</f>
        <v>291.7</v>
      </c>
      <c r="F20" s="37" t="n">
        <f aca="false">-(SUMIFS('TB Actual'!I$7:I$60,'TB Actual'!$B$7:$B$60,"6130"))</f>
        <v>272.8</v>
      </c>
      <c r="G20" s="37" t="n">
        <f aca="false">-(SUMIFS('TB Actual'!J$7:J$60,'TB Actual'!$B$7:$B$60,"6130"))</f>
        <v>268</v>
      </c>
      <c r="H20" s="37" t="n">
        <f aca="false">-(SUMIFS('TB Actual'!K$7:K$60,'TB Actual'!$B$7:$B$60,"6130"))</f>
        <v>260.5</v>
      </c>
      <c r="I20" s="37" t="n">
        <f aca="false">-(SUMIFS('TB Actual'!L$7:L$60,'TB Actual'!$B$7:$B$60,"6130"))</f>
        <v>253.9</v>
      </c>
      <c r="J20" s="37" t="n">
        <f aca="false">-(SUMIFS('TB Actual'!M$7:M$60,'TB Actual'!$B$7:$B$60,"6130"))</f>
        <v>297.1</v>
      </c>
      <c r="K20" s="37" t="n">
        <f aca="false">-(SUMIFS('TB Actual'!N$7:N$60,'TB Actual'!$B$7:$B$60,"6130"))</f>
        <v>398</v>
      </c>
      <c r="L20" s="37" t="n">
        <f aca="false">-(SUMIFS('TB Actual'!O$7:O$60,'TB Actual'!$B$7:$B$60,"6130"))</f>
        <v>490.7</v>
      </c>
      <c r="M20" s="37" t="n">
        <f aca="false">-(SUMIFS('TB Actual'!P$7:P$60,'TB Actual'!$B$7:$B$60,"6130"))</f>
        <v>534.5</v>
      </c>
      <c r="N20" s="37" t="n">
        <f aca="false">-(SUMIFS('TB Actual'!Q$7:Q$60,'TB Actual'!$B$7:$B$60,"6130"))</f>
        <v>495.4</v>
      </c>
      <c r="O20" s="38" t="n">
        <f aca="false">SUM(C20:N20)</f>
        <v>4136.3</v>
      </c>
    </row>
    <row r="21" customFormat="false" ht="15" hidden="false" customHeight="false" outlineLevel="0" collapsed="false">
      <c r="B21" s="36" t="s">
        <v>415</v>
      </c>
      <c r="C21" s="41" t="n">
        <f aca="false">IFERROR(C18/'P&amp;L Monthly'!C9,0)</f>
        <v>0.619998518993903</v>
      </c>
      <c r="D21" s="41" t="n">
        <f aca="false">IFERROR(D18/'P&amp;L Monthly'!D9,0)</f>
        <v>0.616362832548826</v>
      </c>
      <c r="E21" s="41" t="n">
        <f aca="false">IFERROR(E18/'P&amp;L Monthly'!E9,0)</f>
        <v>0.612732316227462</v>
      </c>
      <c r="F21" s="41" t="n">
        <f aca="false">IFERROR(F18/'P&amp;L Monthly'!F9,0)</f>
        <v>0.609079684680407</v>
      </c>
      <c r="G21" s="41" t="n">
        <f aca="false">IFERROR(G18/'P&amp;L Monthly'!G9,0)</f>
        <v>0.605434484649123</v>
      </c>
      <c r="H21" s="41" t="n">
        <f aca="false">IFERROR(H18/'P&amp;L Monthly'!H9,0)</f>
        <v>0.601829723674384</v>
      </c>
      <c r="I21" s="41" t="n">
        <f aca="false">IFERROR(I18/'P&amp;L Monthly'!I9,0)</f>
        <v>0.598179611650486</v>
      </c>
      <c r="J21" s="41" t="n">
        <f aca="false">IFERROR(J18/'P&amp;L Monthly'!J9,0)</f>
        <v>0.594553265855967</v>
      </c>
      <c r="K21" s="41" t="n">
        <f aca="false">IFERROR(K18/'P&amp;L Monthly'!K9,0)</f>
        <v>0.590902601296365</v>
      </c>
      <c r="L21" s="41" t="n">
        <f aca="false">IFERROR(L18/'P&amp;L Monthly'!L9,0)</f>
        <v>0.587267299337395</v>
      </c>
      <c r="M21" s="41" t="n">
        <f aca="false">IFERROR(M18/'P&amp;L Monthly'!M9,0)</f>
        <v>0.583638185334483</v>
      </c>
      <c r="N21" s="41" t="n">
        <f aca="false">IFERROR(N18/'P&amp;L Monthly'!N9,0)</f>
        <v>0.580005247966413</v>
      </c>
      <c r="O21" s="52" t="n">
        <f aca="false">IFERROR(O18/'P&amp;L Monthly'!O9,0)</f>
        <v>0.599734952742948</v>
      </c>
    </row>
    <row r="22" customFormat="false" ht="15" hidden="false" customHeight="false" outlineLevel="0" collapsed="false">
      <c r="B22" s="36" t="s">
        <v>416</v>
      </c>
      <c r="C22" s="41" t="n">
        <f aca="false">IFERROR(C19/'P&amp;L Monthly'!C9,0)</f>
        <v>0.309999259496952</v>
      </c>
      <c r="D22" s="41" t="n">
        <f aca="false">IFERROR(D19/'P&amp;L Monthly'!D9,0)</f>
        <v>0.308194419161054</v>
      </c>
      <c r="E22" s="41" t="n">
        <f aca="false">IFERROR(E19/'P&amp;L Monthly'!E9,0)</f>
        <v>0.306352288488211</v>
      </c>
      <c r="F22" s="41" t="n">
        <f aca="false">IFERROR(F19/'P&amp;L Monthly'!F9,0)</f>
        <v>0.304555671637066</v>
      </c>
      <c r="G22" s="41" t="n">
        <f aca="false">IFERROR(G19/'P&amp;L Monthly'!G9,0)</f>
        <v>0.302734375</v>
      </c>
      <c r="H22" s="41" t="n">
        <f aca="false">IFERROR(H19/'P&amp;L Monthly'!H9,0)</f>
        <v>0.300896191187453</v>
      </c>
      <c r="I22" s="41" t="n">
        <f aca="false">IFERROR(I19/'P&amp;L Monthly'!I9,0)</f>
        <v>0.29911003236246</v>
      </c>
      <c r="J22" s="41" t="n">
        <f aca="false">IFERROR(J19/'P&amp;L Monthly'!J9,0)</f>
        <v>0.297276632927984</v>
      </c>
      <c r="K22" s="41" t="n">
        <f aca="false">IFERROR(K19/'P&amp;L Monthly'!K9,0)</f>
        <v>0.295451300648183</v>
      </c>
      <c r="L22" s="41" t="n">
        <f aca="false">IFERROR(L19/'P&amp;L Monthly'!L9,0)</f>
        <v>0.293633649668697</v>
      </c>
      <c r="M22" s="41" t="n">
        <f aca="false">IFERROR(M19/'P&amp;L Monthly'!M9,0)</f>
        <v>0.291819092667241</v>
      </c>
      <c r="N22" s="41" t="n">
        <f aca="false">IFERROR(N19/'P&amp;L Monthly'!N9,0)</f>
        <v>0.290002623983207</v>
      </c>
      <c r="O22" s="52" t="n">
        <f aca="false">IFERROR(O19/'P&amp;L Monthly'!O9,0)</f>
        <v>0.299869903544158</v>
      </c>
    </row>
    <row r="23" customFormat="false" ht="15" hidden="false" customHeight="false" outlineLevel="0" collapsed="false">
      <c r="B23" s="36" t="s">
        <v>417</v>
      </c>
      <c r="C23" s="41" t="n">
        <f aca="false">IFERROR(C20/'P&amp;L Monthly'!C9,0)</f>
        <v>0.0700022215091452</v>
      </c>
      <c r="D23" s="41" t="n">
        <f aca="false">IFERROR(D20/'P&amp;L Monthly'!D9,0)</f>
        <v>0.0754427482901204</v>
      </c>
      <c r="E23" s="41" t="n">
        <f aca="false">IFERROR(E20/'P&amp;L Monthly'!E9,0)</f>
        <v>0.0809153952843273</v>
      </c>
      <c r="F23" s="41" t="n">
        <f aca="false">IFERROR(F20/'P&amp;L Monthly'!F9,0)</f>
        <v>0.0863646436825276</v>
      </c>
      <c r="G23" s="41" t="n">
        <f aca="false">IFERROR(G20/'P&amp;L Monthly'!G9,0)</f>
        <v>0.0918311403508772</v>
      </c>
      <c r="H23" s="41" t="n">
        <f aca="false">IFERROR(H20/'P&amp;L Monthly'!H9,0)</f>
        <v>0.0972740851381628</v>
      </c>
      <c r="I23" s="41" t="n">
        <f aca="false">IFERROR(I20/'P&amp;L Monthly'!I9,0)</f>
        <v>0.102710355987055</v>
      </c>
      <c r="J23" s="41" t="n">
        <f aca="false">IFERROR(J20/'P&amp;L Monthly'!J9,0)</f>
        <v>0.108170101216049</v>
      </c>
      <c r="K23" s="41" t="n">
        <f aca="false">IFERROR(K20/'P&amp;L Monthly'!K9,0)</f>
        <v>0.113646098055452</v>
      </c>
      <c r="L23" s="41" t="n">
        <f aca="false">IFERROR(L20/'P&amp;L Monthly'!L9,0)</f>
        <v>0.119099050993908</v>
      </c>
      <c r="M23" s="41" t="n">
        <f aca="false">IFERROR(M20/'P&amp;L Monthly'!M9,0)</f>
        <v>0.124542721998276</v>
      </c>
      <c r="N23" s="41" t="n">
        <f aca="false">IFERROR(N20/'P&amp;L Monthly'!N9,0)</f>
        <v>0.12999212805038</v>
      </c>
      <c r="O23" s="52" t="n">
        <f aca="false">IFERROR(O20/'P&amp;L Monthly'!O9,0)</f>
        <v>0.100395143712895</v>
      </c>
    </row>
    <row r="25" customFormat="false" ht="15" hidden="false" customHeight="false" outlineLevel="0" collapsed="false">
      <c r="B25" s="49" t="s">
        <v>142</v>
      </c>
      <c r="C25" s="50"/>
      <c r="D25" s="50"/>
      <c r="E25" s="50"/>
      <c r="F25" s="50"/>
      <c r="G25" s="50"/>
      <c r="H25" s="50"/>
      <c r="I25" s="50"/>
      <c r="J25" s="50"/>
      <c r="K25" s="50"/>
      <c r="L25" s="50"/>
      <c r="M25" s="50"/>
      <c r="N25" s="50"/>
      <c r="O25" s="50"/>
    </row>
    <row r="26" customFormat="false" ht="15" hidden="false" customHeight="false" outlineLevel="0" collapsed="false">
      <c r="B26" s="36" t="s">
        <v>196</v>
      </c>
      <c r="C26" s="37" t="n">
        <f aca="false">'Balance Sheet'!D16</f>
        <v>5103.7</v>
      </c>
      <c r="D26" s="37" t="n">
        <f aca="false">'Balance Sheet'!E16</f>
        <v>4983.2</v>
      </c>
      <c r="E26" s="37" t="n">
        <f aca="false">'Balance Sheet'!F16</f>
        <v>4923.8</v>
      </c>
      <c r="F26" s="37" t="n">
        <f aca="false">'Balance Sheet'!G16</f>
        <v>4478.3</v>
      </c>
      <c r="G26" s="37" t="n">
        <f aca="false">'Balance Sheet'!H16</f>
        <v>4024.9</v>
      </c>
      <c r="H26" s="37" t="n">
        <f aca="false">'Balance Sheet'!I16</f>
        <v>3540.7</v>
      </c>
      <c r="I26" s="37" t="n">
        <f aca="false">'Balance Sheet'!J16</f>
        <v>3199.3</v>
      </c>
      <c r="J26" s="37" t="n">
        <f aca="false">'Balance Sheet'!K16</f>
        <v>3084.4</v>
      </c>
      <c r="K26" s="37" t="n">
        <f aca="false">'Balance Sheet'!L16</f>
        <v>3401.3</v>
      </c>
      <c r="L26" s="37" t="n">
        <f aca="false">'Balance Sheet'!M16</f>
        <v>4057</v>
      </c>
      <c r="M26" s="37" t="n">
        <f aca="false">'Balance Sheet'!N16</f>
        <v>4611.6</v>
      </c>
      <c r="N26" s="37" t="n">
        <f aca="false">'Balance Sheet'!O16</f>
        <v>4690.5</v>
      </c>
      <c r="O26" s="38" t="n">
        <f aca="false">'Balance Sheet'!O16</f>
        <v>4690.5</v>
      </c>
    </row>
    <row r="27" customFormat="false" ht="15" hidden="false" customHeight="false" outlineLevel="0" collapsed="false">
      <c r="B27" s="36" t="s">
        <v>202</v>
      </c>
      <c r="C27" s="37" t="n">
        <f aca="false">'Balance Sheet'!D17</f>
        <v>7133.2</v>
      </c>
      <c r="D27" s="37" t="n">
        <f aca="false">'Balance Sheet'!E17</f>
        <v>6965.6</v>
      </c>
      <c r="E27" s="37" t="n">
        <f aca="false">'Balance Sheet'!F17</f>
        <v>6881.2</v>
      </c>
      <c r="F27" s="37" t="n">
        <f aca="false">'Balance Sheet'!G17</f>
        <v>6270.7</v>
      </c>
      <c r="G27" s="37" t="n">
        <f aca="false">'Balance Sheet'!H17</f>
        <v>5649.3</v>
      </c>
      <c r="H27" s="37" t="n">
        <f aca="false">'Balance Sheet'!I17</f>
        <v>5026.8</v>
      </c>
      <c r="I27" s="37" t="n">
        <f aca="false">'Balance Sheet'!J17</f>
        <v>4557.8</v>
      </c>
      <c r="J27" s="37" t="n">
        <f aca="false">'Balance Sheet'!K17</f>
        <v>4397.5</v>
      </c>
      <c r="K27" s="37" t="n">
        <f aca="false">'Balance Sheet'!L17</f>
        <v>4825.8</v>
      </c>
      <c r="L27" s="37" t="n">
        <f aca="false">'Balance Sheet'!M17</f>
        <v>5716.1</v>
      </c>
      <c r="M27" s="37" t="n">
        <f aca="false">'Balance Sheet'!N17</f>
        <v>6530.1</v>
      </c>
      <c r="N27" s="37" t="n">
        <f aca="false">'Balance Sheet'!O17</f>
        <v>6634.3</v>
      </c>
      <c r="O27" s="38" t="n">
        <f aca="false">'Balance Sheet'!O17</f>
        <v>6634.3</v>
      </c>
    </row>
    <row r="28" customFormat="false" ht="15" hidden="false" customHeight="false" outlineLevel="0" collapsed="false">
      <c r="B28" s="36" t="s">
        <v>211</v>
      </c>
      <c r="C28" s="37" t="n">
        <f aca="false">'Balance Sheet'!D25</f>
        <v>5224.2</v>
      </c>
      <c r="D28" s="37" t="n">
        <f aca="false">'Balance Sheet'!E25</f>
        <v>5177.9</v>
      </c>
      <c r="E28" s="37" t="n">
        <f aca="false">'Balance Sheet'!F25</f>
        <v>5190.7</v>
      </c>
      <c r="F28" s="37" t="n">
        <f aca="false">'Balance Sheet'!G25</f>
        <v>4811.1</v>
      </c>
      <c r="G28" s="37" t="n">
        <f aca="false">'Balance Sheet'!H25</f>
        <v>4412</v>
      </c>
      <c r="H28" s="37" t="n">
        <f aca="false">'Balance Sheet'!I25</f>
        <v>4000.1</v>
      </c>
      <c r="I28" s="37" t="n">
        <f aca="false">'Balance Sheet'!J25</f>
        <v>3695.3</v>
      </c>
      <c r="J28" s="37" t="n">
        <f aca="false">'Balance Sheet'!K25</f>
        <v>3624.6</v>
      </c>
      <c r="K28" s="37" t="n">
        <f aca="false">'Balance Sheet'!L25</f>
        <v>4021.8</v>
      </c>
      <c r="L28" s="37" t="n">
        <f aca="false">'Balance Sheet'!M25</f>
        <v>4804.5</v>
      </c>
      <c r="M28" s="37" t="n">
        <f aca="false">'Balance Sheet'!N25</f>
        <v>5546.4</v>
      </c>
      <c r="N28" s="37" t="n">
        <f aca="false">'Balance Sheet'!O25</f>
        <v>5716.9</v>
      </c>
      <c r="O28" s="38" t="n">
        <f aca="false">'Balance Sheet'!O25</f>
        <v>5716.9</v>
      </c>
    </row>
    <row r="29" customFormat="false" ht="15" hidden="false" customHeight="false" outlineLevel="0" collapsed="false">
      <c r="B29" s="36" t="s">
        <v>418</v>
      </c>
      <c r="C29" s="37" t="n">
        <f aca="false">C26+C27-C28</f>
        <v>7012.7</v>
      </c>
      <c r="D29" s="37" t="n">
        <f aca="false">D26+D27-D28</f>
        <v>6770.9</v>
      </c>
      <c r="E29" s="37" t="n">
        <f aca="false">E26+E27-E28</f>
        <v>6614.3</v>
      </c>
      <c r="F29" s="37" t="n">
        <f aca="false">F26+F27-F28</f>
        <v>5937.9</v>
      </c>
      <c r="G29" s="37" t="n">
        <f aca="false">G26+G27-G28</f>
        <v>5262.2</v>
      </c>
      <c r="H29" s="37" t="n">
        <f aca="false">H26+H27-H28</f>
        <v>4567.4</v>
      </c>
      <c r="I29" s="37" t="n">
        <f aca="false">I26+I27-I28</f>
        <v>4061.8</v>
      </c>
      <c r="J29" s="37" t="n">
        <f aca="false">J26+J27-J28</f>
        <v>3857.3</v>
      </c>
      <c r="K29" s="37" t="n">
        <f aca="false">K26+K27-K28</f>
        <v>4205.3</v>
      </c>
      <c r="L29" s="37" t="n">
        <f aca="false">L26+L27-L28</f>
        <v>4968.6</v>
      </c>
      <c r="M29" s="37" t="n">
        <f aca="false">M26+M27-M28</f>
        <v>5595.3</v>
      </c>
      <c r="N29" s="37" t="n">
        <f aca="false">N26+N27-N28</f>
        <v>5607.9</v>
      </c>
      <c r="O29" s="38" t="n">
        <f aca="false">O26+O27-O28</f>
        <v>5607.9</v>
      </c>
    </row>
    <row r="30" customFormat="false" ht="15" hidden="false" customHeight="false" outlineLevel="0" collapsed="false">
      <c r="B30" s="36" t="s">
        <v>419</v>
      </c>
      <c r="C30" s="53" t="n">
        <f aca="false">IFERROR(C27/(('P&amp;L Monthly'!C13)/1*12)*365,0)</f>
        <v>58.2121073907133</v>
      </c>
      <c r="D30" s="53" t="n">
        <f aca="false">IFERROR(D27/(('P&amp;L Monthly'!C13+'P&amp;L Monthly'!D13)/2*12)*365,0)</f>
        <v>58.327919098484</v>
      </c>
      <c r="E30" s="53" t="n">
        <f aca="false">IFERROR(E27/(('P&amp;L Monthly'!C13+'P&amp;L Monthly'!D13+'P&amp;L Monthly'!E13)/3*12)*365,0)</f>
        <v>59.3408717182981</v>
      </c>
      <c r="F30" s="53" t="n">
        <f aca="false">IFERROR(F27/(('P&amp;L Monthly'!D13+'P&amp;L Monthly'!E13+'P&amp;L Monthly'!F13)/3*12)*365,0)</f>
        <v>58.6259887092478</v>
      </c>
      <c r="G30" s="53" t="n">
        <f aca="false">IFERROR(G27/(('P&amp;L Monthly'!E13+'P&amp;L Monthly'!F13+'P&amp;L Monthly'!G13)/3*12)*365,0)</f>
        <v>57.8724249228179</v>
      </c>
      <c r="H30" s="53" t="n">
        <f aca="false">IFERROR(H27/(('P&amp;L Monthly'!F13+'P&amp;L Monthly'!G13+'P&amp;L Monthly'!H13)/3*12)*365,0)</f>
        <v>57.0708446866485</v>
      </c>
      <c r="I30" s="53" t="n">
        <f aca="false">IFERROR(I27/(('P&amp;L Monthly'!G13+'P&amp;L Monthly'!H13+'P&amp;L Monthly'!I13)/3*12)*365,0)</f>
        <v>56.2824616009202</v>
      </c>
      <c r="J30" s="53" t="n">
        <f aca="false">IFERROR(J27/(('P&amp;L Monthly'!H13+'P&amp;L Monthly'!I13+'P&amp;L Monthly'!J13)/3*12)*365,0)</f>
        <v>55.6271313907064</v>
      </c>
      <c r="K30" s="53" t="n">
        <f aca="false">IFERROR(K27/(('P&amp;L Monthly'!I13+'P&amp;L Monthly'!J13+'P&amp;L Monthly'!K13)/3*12)*365,0)</f>
        <v>55.2764423076923</v>
      </c>
      <c r="L30" s="53" t="n">
        <f aca="false">IFERROR(L27/(('P&amp;L Monthly'!J13+'P&amp;L Monthly'!K13+'P&amp;L Monthly'!L13)/3*12)*365,0)</f>
        <v>55.0675286901255</v>
      </c>
      <c r="M30" s="53" t="n">
        <f aca="false">IFERROR(M27/(('P&amp;L Monthly'!K13+'P&amp;L Monthly'!L13+'P&amp;L Monthly'!M13)/3*12)*365,0)</f>
        <v>54.7505030597056</v>
      </c>
      <c r="N30" s="53" t="n">
        <f aca="false">IFERROR(N27/(('P&amp;L Monthly'!L13+'P&amp;L Monthly'!M13+'P&amp;L Monthly'!N13)/3*12)*365,0)</f>
        <v>54.2187877837983</v>
      </c>
      <c r="O30" s="54" t="n">
        <f aca="false">IFERROR(O27/'P&amp;L Monthly'!O13*365,0)</f>
        <v>64.1451923942931</v>
      </c>
    </row>
    <row r="31" customFormat="false" ht="15" hidden="false" customHeight="false" outlineLevel="0" collapsed="false">
      <c r="B31" s="36" t="s">
        <v>420</v>
      </c>
      <c r="C31" s="53" t="n">
        <f aca="false">IFERROR(C26/-(('P&amp;L Monthly'!C16)/1*12)*365,0)</f>
        <v>75.0447363756486</v>
      </c>
      <c r="D31" s="53" t="n">
        <f aca="false">IFERROR(D26/-(('P&amp;L Monthly'!C16+'P&amp;L Monthly'!D16)/2*12)*365,0)</f>
        <v>75.1846891534392</v>
      </c>
      <c r="E31" s="53" t="n">
        <f aca="false">IFERROR(E26/-(('P&amp;L Monthly'!C16+'P&amp;L Monthly'!D16+'P&amp;L Monthly'!E16)/3*12)*365,0)</f>
        <v>76.5059938358847</v>
      </c>
      <c r="F31" s="53" t="n">
        <f aca="false">IFERROR(F26/-(('P&amp;L Monthly'!D16+'P&amp;L Monthly'!E16+'P&amp;L Monthly'!F16)/3*12)*365,0)</f>
        <v>75.4388810943529</v>
      </c>
      <c r="G31" s="53" t="n">
        <f aca="false">IFERROR(G26/-(('P&amp;L Monthly'!E16+'P&amp;L Monthly'!F16+'P&amp;L Monthly'!G16)/3*12)*365,0)</f>
        <v>74.2924437656768</v>
      </c>
      <c r="H31" s="53" t="n">
        <f aca="false">IFERROR(H26/-(('P&amp;L Monthly'!F16+'P&amp;L Monthly'!G16+'P&amp;L Monthly'!H16)/3*12)*365,0)</f>
        <v>72.4317076178093</v>
      </c>
      <c r="I31" s="53" t="n">
        <f aca="false">IFERROR(I26/-(('P&amp;L Monthly'!G16+'P&amp;L Monthly'!H16+'P&amp;L Monthly'!I16)/3*12)*365,0)</f>
        <v>71.1848345565824</v>
      </c>
      <c r="J31" s="53" t="n">
        <f aca="false">IFERROR(J26/-(('P&amp;L Monthly'!H16+'P&amp;L Monthly'!I16+'P&amp;L Monthly'!J16)/3*12)*365,0)</f>
        <v>70.3013613088548</v>
      </c>
      <c r="K31" s="53" t="n">
        <f aca="false">IFERROR(K26/-(('P&amp;L Monthly'!I16+'P&amp;L Monthly'!J16+'P&amp;L Monthly'!K16)/3*12)*365,0)</f>
        <v>70.1984993101577</v>
      </c>
      <c r="L31" s="53" t="n">
        <f aca="false">IFERROR(L26/-(('P&amp;L Monthly'!J16+'P&amp;L Monthly'!K16+'P&amp;L Monthly'!L16)/3*12)*365,0)</f>
        <v>70.4233088570994</v>
      </c>
      <c r="M31" s="53" t="n">
        <f aca="false">IFERROR(M26/-(('P&amp;L Monthly'!K16+'P&amp;L Monthly'!L16+'P&amp;L Monthly'!M16)/3*12)*365,0)</f>
        <v>69.6691279945696</v>
      </c>
      <c r="N31" s="53" t="n">
        <f aca="false">IFERROR(N26/-(('P&amp;L Monthly'!L16+'P&amp;L Monthly'!M16+'P&amp;L Monthly'!N16)/3*12)*365,0)</f>
        <v>69.0703317895009</v>
      </c>
      <c r="O31" s="54" t="n">
        <f aca="false">IFERROR(O26/-'P&amp;L Monthly'!O16*365,0)</f>
        <v>81.7148577892541</v>
      </c>
    </row>
    <row r="32" customFormat="false" ht="15" hidden="false" customHeight="false" outlineLevel="0" collapsed="false">
      <c r="B32" s="36" t="s">
        <v>421</v>
      </c>
      <c r="C32" s="53" t="n">
        <f aca="false">IFERROR(C28/-(('P&amp;L Monthly'!C16)/1*12+('P&amp;L Monthly'!C17)/1*12)*365,0)</f>
        <v>71.1738555943743</v>
      </c>
      <c r="D32" s="53" t="n">
        <f aca="false">IFERROR(D28/-(('P&amp;L Monthly'!C16+'P&amp;L Monthly'!D16)/2*12+('P&amp;L Monthly'!C17+'P&amp;L Monthly'!D17)/2*12)*365,0)</f>
        <v>72.3829576180956</v>
      </c>
      <c r="E32" s="53" t="n">
        <f aca="false">IFERROR(E28/-(('P&amp;L Monthly'!C16+'P&amp;L Monthly'!D16+'P&amp;L Monthly'!E16)/3*12+('P&amp;L Monthly'!C17+'P&amp;L Monthly'!D17+'P&amp;L Monthly'!E17)/3*12)*365,0)</f>
        <v>74.7284563684269</v>
      </c>
      <c r="F32" s="53" t="n">
        <f aca="false">IFERROR(F28/-(('P&amp;L Monthly'!D16+'P&amp;L Monthly'!E16+'P&amp;L Monthly'!F16)/3*12+('P&amp;L Monthly'!D17+'P&amp;L Monthly'!E17+'P&amp;L Monthly'!F17)/3*12)*365,0)</f>
        <v>75.0911458333333</v>
      </c>
      <c r="G32" s="53" t="n">
        <f aca="false">IFERROR(G28/-(('P&amp;L Monthly'!E16+'P&amp;L Monthly'!F16+'P&amp;L Monthly'!G16)/3*12+('P&amp;L Monthly'!E17+'P&amp;L Monthly'!F17+'P&amp;L Monthly'!G17)/3*12)*365,0)</f>
        <v>75.4559085371568</v>
      </c>
      <c r="H32" s="53" t="n">
        <f aca="false">IFERROR(H28/-(('P&amp;L Monthly'!F16+'P&amp;L Monthly'!G16+'P&amp;L Monthly'!H16)/3*12+('P&amp;L Monthly'!F17+'P&amp;L Monthly'!G17+'P&amp;L Monthly'!H17)/3*12)*365,0)</f>
        <v>75.8192690374309</v>
      </c>
      <c r="I32" s="53" t="n">
        <f aca="false">IFERROR(I28/-(('P&amp;L Monthly'!G16+'P&amp;L Monthly'!H16+'P&amp;L Monthly'!I16)/3*12+('P&amp;L Monthly'!G17+'P&amp;L Monthly'!H17+'P&amp;L Monthly'!I17)/3*12)*365,0)</f>
        <v>76.1818546382902</v>
      </c>
      <c r="J32" s="53" t="n">
        <f aca="false">IFERROR(J28/-(('P&amp;L Monthly'!H16+'P&amp;L Monthly'!I16+'P&amp;L Monthly'!J16)/3*12+('P&amp;L Monthly'!H17+'P&amp;L Monthly'!I17+'P&amp;L Monthly'!J17)/3*12)*365,0)</f>
        <v>76.545337776852</v>
      </c>
      <c r="K32" s="53" t="n">
        <f aca="false">IFERROR(K28/-(('P&amp;L Monthly'!I16+'P&amp;L Monthly'!J16+'P&amp;L Monthly'!K16)/3*12+('P&amp;L Monthly'!I17+'P&amp;L Monthly'!J17+'P&amp;L Monthly'!K17)/3*12)*365,0)</f>
        <v>76.906316142417</v>
      </c>
      <c r="L32" s="53" t="n">
        <f aca="false">IFERROR(L28/-(('P&amp;L Monthly'!J16+'P&amp;L Monthly'!K16+'P&amp;L Monthly'!L16)/3*12+('P&amp;L Monthly'!J17+'P&amp;L Monthly'!K17+'P&amp;L Monthly'!L17)/3*12)*365,0)</f>
        <v>77.2720362732656</v>
      </c>
      <c r="M32" s="53" t="n">
        <f aca="false">IFERROR(M28/-(('P&amp;L Monthly'!K16+'P&amp;L Monthly'!L16+'P&amp;L Monthly'!M16)/3*12+('P&amp;L Monthly'!K17+'P&amp;L Monthly'!L17+'P&amp;L Monthly'!M17)/3*12)*365,0)</f>
        <v>77.6359871145881</v>
      </c>
      <c r="N32" s="53" t="n">
        <f aca="false">IFERROR(N28/-(('P&amp;L Monthly'!L16+'P&amp;L Monthly'!M16+'P&amp;L Monthly'!N16)/3*12+('P&amp;L Monthly'!L17+'P&amp;L Monthly'!M17+'P&amp;L Monthly'!N17)/3*12)*365,0)</f>
        <v>78.0004672547847</v>
      </c>
      <c r="O32" s="54" t="n">
        <f aca="false">IFERROR(O28/-('P&amp;L Monthly'!O16+'P&amp;L Monthly'!O17)*365,0)</f>
        <v>92.2798331888698</v>
      </c>
    </row>
    <row r="33" customFormat="false" ht="15" hidden="false" customHeight="false" outlineLevel="0" collapsed="false">
      <c r="B33" s="36" t="s">
        <v>422</v>
      </c>
      <c r="C33" s="53" t="n">
        <f aca="false">C30+C31-C32</f>
        <v>62.0829881719876</v>
      </c>
      <c r="D33" s="53" t="n">
        <f aca="false">D30+D31-D32</f>
        <v>61.1296506338276</v>
      </c>
      <c r="E33" s="53" t="n">
        <f aca="false">E30+E31-E32</f>
        <v>61.118409185756</v>
      </c>
      <c r="F33" s="53" t="n">
        <f aca="false">F30+F31-F32</f>
        <v>58.9737239702673</v>
      </c>
      <c r="G33" s="53" t="n">
        <f aca="false">G30+G31-G32</f>
        <v>56.7089601513379</v>
      </c>
      <c r="H33" s="53" t="n">
        <f aca="false">H30+H31-H32</f>
        <v>53.6832832670269</v>
      </c>
      <c r="I33" s="53" t="n">
        <f aca="false">I30+I31-I32</f>
        <v>51.2854415192125</v>
      </c>
      <c r="J33" s="53" t="n">
        <f aca="false">J30+J31-J32</f>
        <v>49.3831549227092</v>
      </c>
      <c r="K33" s="53" t="n">
        <f aca="false">K30+K31-K32</f>
        <v>48.5686254754329</v>
      </c>
      <c r="L33" s="53" t="n">
        <f aca="false">L30+L31-L32</f>
        <v>48.2188012739593</v>
      </c>
      <c r="M33" s="53" t="n">
        <f aca="false">M30+M31-M32</f>
        <v>46.7836439396871</v>
      </c>
      <c r="N33" s="53" t="n">
        <f aca="false">N30+N31-N32</f>
        <v>45.2886523185145</v>
      </c>
      <c r="O33" s="54" t="n">
        <f aca="false">O30+O31-O32</f>
        <v>53.5802169946774</v>
      </c>
    </row>
    <row r="35" customFormat="false" ht="15" hidden="false" customHeight="false" outlineLevel="0" collapsed="false">
      <c r="B35" s="49" t="s">
        <v>423</v>
      </c>
      <c r="C35" s="50"/>
      <c r="D35" s="50"/>
      <c r="E35" s="50"/>
      <c r="F35" s="50"/>
      <c r="G35" s="50"/>
      <c r="H35" s="50"/>
      <c r="I35" s="50"/>
      <c r="J35" s="50"/>
      <c r="K35" s="50"/>
      <c r="L35" s="50"/>
      <c r="M35" s="50"/>
      <c r="N35" s="50"/>
      <c r="O35" s="50"/>
    </row>
    <row r="36" customFormat="false" ht="15" hidden="false" customHeight="false" outlineLevel="0" collapsed="false">
      <c r="B36" s="36" t="s">
        <v>209</v>
      </c>
      <c r="C36" s="37" t="n">
        <f aca="false">'Balance Sheet'!D19</f>
        <v>2602.7</v>
      </c>
      <c r="D36" s="37" t="n">
        <f aca="false">'Balance Sheet'!E19</f>
        <v>2255.5</v>
      </c>
      <c r="E36" s="37" t="n">
        <f aca="false">'Balance Sheet'!F19</f>
        <v>2248.6</v>
      </c>
      <c r="F36" s="37" t="n">
        <f aca="false">'Balance Sheet'!G19</f>
        <v>3141.8</v>
      </c>
      <c r="G36" s="37" t="n">
        <f aca="false">'Balance Sheet'!H19</f>
        <v>4138.4</v>
      </c>
      <c r="H36" s="37" t="n">
        <f aca="false">'Balance Sheet'!I19</f>
        <v>3269.9</v>
      </c>
      <c r="I36" s="37" t="n">
        <f aca="false">'Balance Sheet'!J19</f>
        <v>3930.6</v>
      </c>
      <c r="J36" s="37" t="n">
        <f aca="false">'Balance Sheet'!K19</f>
        <v>4372.1</v>
      </c>
      <c r="K36" s="37" t="n">
        <f aca="false">'Balance Sheet'!L19</f>
        <v>4225.7</v>
      </c>
      <c r="L36" s="37" t="n">
        <f aca="false">'Balance Sheet'!M19</f>
        <v>4158.7</v>
      </c>
      <c r="M36" s="37" t="n">
        <f aca="false">'Balance Sheet'!N19</f>
        <v>4168.9</v>
      </c>
      <c r="N36" s="37" t="n">
        <f aca="false">'Balance Sheet'!O19</f>
        <v>3625.6</v>
      </c>
      <c r="O36" s="38" t="n">
        <f aca="false">'Balance Sheet'!O19</f>
        <v>3625.6</v>
      </c>
    </row>
    <row r="37" customFormat="false" ht="15" hidden="false" customHeight="false" outlineLevel="0" collapsed="false">
      <c r="B37" s="36" t="s">
        <v>424</v>
      </c>
      <c r="C37" s="37" t="n">
        <f aca="false">'Balance Sheet'!D30+'Balance Sheet'!D37+'Balance Sheet'!D29+'Balance Sheet'!D36</f>
        <v>5034.6</v>
      </c>
      <c r="D37" s="37" t="n">
        <f aca="false">'Balance Sheet'!E30+'Balance Sheet'!E37+'Balance Sheet'!E29+'Balance Sheet'!E36</f>
        <v>4988.9</v>
      </c>
      <c r="E37" s="37" t="n">
        <f aca="false">'Balance Sheet'!F30+'Balance Sheet'!F37+'Balance Sheet'!F29+'Balance Sheet'!F36</f>
        <v>4693</v>
      </c>
      <c r="F37" s="37" t="n">
        <f aca="false">'Balance Sheet'!G30+'Balance Sheet'!G37+'Balance Sheet'!G29+'Balance Sheet'!G36</f>
        <v>4646.9</v>
      </c>
      <c r="G37" s="37" t="n">
        <f aca="false">'Balance Sheet'!H30+'Balance Sheet'!H37+'Balance Sheet'!H29+'Balance Sheet'!H36</f>
        <v>4600.5</v>
      </c>
      <c r="H37" s="37" t="n">
        <f aca="false">'Balance Sheet'!I30+'Balance Sheet'!I37+'Balance Sheet'!I29+'Balance Sheet'!I36</f>
        <v>4303.9</v>
      </c>
      <c r="I37" s="37" t="n">
        <f aca="false">'Balance Sheet'!J30+'Balance Sheet'!J37+'Balance Sheet'!J29+'Balance Sheet'!J36</f>
        <v>4257.1</v>
      </c>
      <c r="J37" s="37" t="n">
        <f aca="false">'Balance Sheet'!K30+'Balance Sheet'!K37+'Balance Sheet'!K29+'Balance Sheet'!K36</f>
        <v>4210</v>
      </c>
      <c r="K37" s="37" t="n">
        <f aca="false">'Balance Sheet'!L30+'Balance Sheet'!L37+'Balance Sheet'!L29+'Balance Sheet'!L36</f>
        <v>3912.7</v>
      </c>
      <c r="L37" s="37" t="n">
        <f aca="false">'Balance Sheet'!M30+'Balance Sheet'!M37+'Balance Sheet'!M29+'Balance Sheet'!M36</f>
        <v>4215.2</v>
      </c>
      <c r="M37" s="37" t="n">
        <f aca="false">'Balance Sheet'!N30+'Balance Sheet'!N37+'Balance Sheet'!N29+'Balance Sheet'!N36</f>
        <v>4169.2</v>
      </c>
      <c r="N37" s="37" t="n">
        <f aca="false">'Balance Sheet'!O30+'Balance Sheet'!O37+'Balance Sheet'!O29+'Balance Sheet'!O36</f>
        <v>3873</v>
      </c>
      <c r="O37" s="38" t="n">
        <f aca="false">'Balance Sheet'!O30+'Balance Sheet'!O37+'Balance Sheet'!O29+'Balance Sheet'!O36</f>
        <v>3873</v>
      </c>
    </row>
    <row r="38" customFormat="false" ht="15" hidden="false" customHeight="false" outlineLevel="0" collapsed="false">
      <c r="B38" s="36" t="s">
        <v>425</v>
      </c>
      <c r="C38" s="37" t="n">
        <f aca="false">C37-C36</f>
        <v>2431.9</v>
      </c>
      <c r="D38" s="37" t="n">
        <f aca="false">D37-D36</f>
        <v>2733.4</v>
      </c>
      <c r="E38" s="37" t="n">
        <f aca="false">E37-E36</f>
        <v>2444.4</v>
      </c>
      <c r="F38" s="37" t="n">
        <f aca="false">F37-F36</f>
        <v>1505.1</v>
      </c>
      <c r="G38" s="37" t="n">
        <f aca="false">G37-G36</f>
        <v>462.099999999999</v>
      </c>
      <c r="H38" s="37" t="n">
        <f aca="false">H37-H36</f>
        <v>1034</v>
      </c>
      <c r="I38" s="37" t="n">
        <f aca="false">I37-I36</f>
        <v>326.5</v>
      </c>
      <c r="J38" s="37" t="n">
        <f aca="false">J37-J36</f>
        <v>-162.1</v>
      </c>
      <c r="K38" s="37" t="n">
        <f aca="false">K37-K36</f>
        <v>-313.000000000001</v>
      </c>
      <c r="L38" s="37" t="n">
        <f aca="false">L37-L36</f>
        <v>56.4999999999991</v>
      </c>
      <c r="M38" s="37" t="n">
        <f aca="false">M37-M36</f>
        <v>0.299999999999272</v>
      </c>
      <c r="N38" s="37" t="n">
        <f aca="false">N37-N36</f>
        <v>247.4</v>
      </c>
      <c r="O38" s="38" t="n">
        <f aca="false">O37-O36</f>
        <v>247.4</v>
      </c>
    </row>
    <row r="39" customFormat="false" ht="15" hidden="false" customHeight="false" outlineLevel="0" collapsed="false">
      <c r="B39" s="36" t="s">
        <v>426</v>
      </c>
      <c r="C39" s="55" t="n">
        <f aca="false">IFERROR(C38/(('P&amp;L Monthly'!C32)/1*12),0)</f>
        <v>0.333210018634221</v>
      </c>
      <c r="D39" s="55" t="n">
        <f aca="false">IFERROR(D38/(('P&amp;L Monthly'!C32+'P&amp;L Monthly'!D32)/2*12),0)</f>
        <v>0.403763774409879</v>
      </c>
      <c r="E39" s="55" t="n">
        <f aca="false">IFERROR(E38/(('P&amp;L Monthly'!C32+'P&amp;L Monthly'!D32+'P&amp;L Monthly'!E32)/3*12),0)</f>
        <v>0.390155142692971</v>
      </c>
      <c r="F39" s="55" t="n">
        <f aca="false">IFERROR(F38/(('P&amp;L Monthly'!D32+'P&amp;L Monthly'!E32+'P&amp;L Monthly'!F32)/3*12),0)</f>
        <v>0.286926185755681</v>
      </c>
      <c r="G39" s="55" t="n">
        <f aca="false">IFERROR(G38/(('P&amp;L Monthly'!E32+'P&amp;L Monthly'!F32+'P&amp;L Monthly'!G32)/3*12),0)</f>
        <v>0.104832123411978</v>
      </c>
      <c r="H39" s="55" t="n">
        <f aca="false">IFERROR(H38/(('P&amp;L Monthly'!F32+'P&amp;L Monthly'!G32+'P&amp;L Monthly'!H32)/3*12),0)</f>
        <v>0.297536832412523</v>
      </c>
      <c r="I39" s="55" t="n">
        <f aca="false">IFERROR(I38/(('P&amp;L Monthly'!G32+'P&amp;L Monthly'!H32+'P&amp;L Monthly'!I32)/3*12),0)</f>
        <v>0.112648357714601</v>
      </c>
      <c r="J39" s="55" t="n">
        <f aca="false">IFERROR(J38/(('P&amp;L Monthly'!H32+'P&amp;L Monthly'!I32+'P&amp;L Monthly'!J32)/3*12),0)</f>
        <v>-0.0614573855019716</v>
      </c>
      <c r="K39" s="55" t="n">
        <f aca="false">IFERROR(K38/(('P&amp;L Monthly'!I32+'P&amp;L Monthly'!J32+'P&amp;L Monthly'!K32)/3*12),0)</f>
        <v>-0.0986261658684147</v>
      </c>
      <c r="L39" s="55" t="n">
        <f aca="false">IFERROR(L38/(('P&amp;L Monthly'!J32+'P&amp;L Monthly'!K32+'P&amp;L Monthly'!L32)/3*12),0)</f>
        <v>0.0133898947767559</v>
      </c>
      <c r="M39" s="55" t="n">
        <f aca="false">IFERROR(M38/(('P&amp;L Monthly'!K32+'P&amp;L Monthly'!L32+'P&amp;L Monthly'!M32)/3*12),0)</f>
        <v>5.87912518615804E-005</v>
      </c>
      <c r="N39" s="55" t="n">
        <f aca="false">IFERROR(N38/(('P&amp;L Monthly'!L32+'P&amp;L Monthly'!M32+'P&amp;L Monthly'!N32)/3*12),0)</f>
        <v>0.0577821375186845</v>
      </c>
      <c r="O39" s="56" t="n">
        <f aca="false">IFERROR(O38/'P&amp;L Monthly'!O32,0)</f>
        <v>0.0575496057130893</v>
      </c>
    </row>
    <row r="40" customFormat="false" ht="15" hidden="false" customHeight="false" outlineLevel="0" collapsed="false">
      <c r="B40" s="36" t="s">
        <v>427</v>
      </c>
      <c r="C40" s="55" t="n">
        <f aca="false">IFERROR('Balance Sheet'!D20/'Balance Sheet'!D33,0)</f>
        <v>1.46456618501753</v>
      </c>
      <c r="D40" s="55" t="n">
        <f aca="false">IFERROR('Balance Sheet'!E20/'Balance Sheet'!E33,0)</f>
        <v>1.5534618115004</v>
      </c>
      <c r="E40" s="55" t="n">
        <f aca="false">IFERROR('Balance Sheet'!F20/'Balance Sheet'!F33,0)</f>
        <v>1.57133419992755</v>
      </c>
      <c r="F40" s="55" t="n">
        <f aca="false">IFERROR('Balance Sheet'!G20/'Balance Sheet'!G33,0)</f>
        <v>1.61070361015211</v>
      </c>
      <c r="G40" s="55" t="n">
        <f aca="false">IFERROR('Balance Sheet'!H20/'Balance Sheet'!H33,0)</f>
        <v>1.65054251600309</v>
      </c>
      <c r="H40" s="55" t="n">
        <f aca="false">IFERROR('Balance Sheet'!I20/'Balance Sheet'!I33,0)</f>
        <v>1.53390698127925</v>
      </c>
      <c r="I40" s="55" t="n">
        <f aca="false">IFERROR('Balance Sheet'!J20/'Balance Sheet'!J33,0)</f>
        <v>1.56310167810927</v>
      </c>
      <c r="J40" s="55" t="n">
        <f aca="false">IFERROR('Balance Sheet'!K20/'Balance Sheet'!K33,0)</f>
        <v>1.54270577751736</v>
      </c>
      <c r="K40" s="55" t="n">
        <f aca="false">IFERROR('Balance Sheet'!L20/'Balance Sheet'!L33,0)</f>
        <v>1.50669909149307</v>
      </c>
      <c r="L40" s="55" t="n">
        <f aca="false">IFERROR('Balance Sheet'!M20/'Balance Sheet'!M33,0)</f>
        <v>1.48170126582279</v>
      </c>
      <c r="M40" s="55" t="n">
        <f aca="false">IFERROR('Balance Sheet'!N20/'Balance Sheet'!N33,0)</f>
        <v>1.46553899606839</v>
      </c>
      <c r="N40" s="55" t="n">
        <f aca="false">IFERROR('Balance Sheet'!O20/'Balance Sheet'!O33,0)</f>
        <v>1.45134249921356</v>
      </c>
      <c r="O40" s="56" t="n">
        <f aca="false">IFERROR('Balance Sheet'!O20/'Balance Sheet'!O33,0)</f>
        <v>1.45134249921356</v>
      </c>
    </row>
    <row r="41" customFormat="false" ht="15" hidden="false" customHeight="false" outlineLevel="0" collapsed="false">
      <c r="B41" s="36" t="s">
        <v>428</v>
      </c>
      <c r="C41" s="51" t="n">
        <f aca="false">IFERROR('Balance Sheet'!D44/'Balance Sheet'!D22,0)</f>
        <v>0.304759643682084</v>
      </c>
      <c r="D41" s="51" t="n">
        <f aca="false">IFERROR('Balance Sheet'!E44/'Balance Sheet'!E22,0)</f>
        <v>0.333993825169347</v>
      </c>
      <c r="E41" s="51" t="n">
        <f aca="false">IFERROR('Balance Sheet'!F44/'Balance Sheet'!F22,0)</f>
        <v>0.352334635382984</v>
      </c>
      <c r="F41" s="51" t="n">
        <f aca="false">IFERROR('Balance Sheet'!G44/'Balance Sheet'!G22,0)</f>
        <v>0.366172942526338</v>
      </c>
      <c r="G41" s="51" t="n">
        <f aca="false">IFERROR('Balance Sheet'!H44/'Balance Sheet'!H22,0)</f>
        <v>0.377691778556088</v>
      </c>
      <c r="H41" s="51" t="n">
        <f aca="false">IFERROR('Balance Sheet'!I44/'Balance Sheet'!I22,0)</f>
        <v>0.356609783043039</v>
      </c>
      <c r="I41" s="51" t="n">
        <f aca="false">IFERROR('Balance Sheet'!J44/'Balance Sheet'!J22,0)</f>
        <v>0.365810725627089</v>
      </c>
      <c r="J41" s="51" t="n">
        <f aca="false">IFERROR('Balance Sheet'!K44/'Balance Sheet'!K22,0)</f>
        <v>0.366344445483449</v>
      </c>
      <c r="K41" s="51" t="n">
        <f aca="false">IFERROR('Balance Sheet'!L44/'Balance Sheet'!L22,0)</f>
        <v>0.368764076977905</v>
      </c>
      <c r="L41" s="51" t="n">
        <f aca="false">IFERROR('Balance Sheet'!M44/'Balance Sheet'!M22,0)</f>
        <v>0.351264315447222</v>
      </c>
      <c r="M41" s="51" t="n">
        <f aca="false">IFERROR('Balance Sheet'!N44/'Balance Sheet'!N22,0)</f>
        <v>0.343752270866539</v>
      </c>
      <c r="N41" s="51" t="n">
        <f aca="false">IFERROR('Balance Sheet'!O44/'Balance Sheet'!O22,0)</f>
        <v>0.351398912506179</v>
      </c>
      <c r="O41" s="52" t="n">
        <f aca="false">IFERROR('Balance Sheet'!O44/'Balance Sheet'!O22,0)</f>
        <v>0.351398912506179</v>
      </c>
    </row>
    <row r="43" customFormat="false" ht="15" hidden="false" customHeight="false" outlineLevel="0" collapsed="false">
      <c r="B43" s="13" t="s">
        <v>429</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552"/>
    <pageSetUpPr fitToPage="true"/>
  </sheetPr>
  <dimension ref="A1:H6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0"/>
    <col collapsed="false" customWidth="true" hidden="false" outlineLevel="0" max="5" min="3" style="0" width="13"/>
    <col collapsed="false" customWidth="true" hidden="false" outlineLevel="0" max="6" min="6" style="0" width="11"/>
    <col collapsed="false" customWidth="true" hidden="false" outlineLevel="0" max="7" min="7" style="0" width="3"/>
    <col collapsed="false" customWidth="true" hidden="false" outlineLevel="0" max="8" min="8" style="0" width="92"/>
  </cols>
  <sheetData>
    <row r="1" customFormat="false" ht="15" hidden="false" customHeight="false" outlineLevel="0" collapsed="false">
      <c r="A1" s="11" t="s">
        <v>0</v>
      </c>
    </row>
    <row r="2" customFormat="false" ht="19.7" hidden="false" customHeight="false" outlineLevel="0" collapsed="false">
      <c r="A2" s="12" t="s">
        <v>430</v>
      </c>
    </row>
    <row r="3" customFormat="false" ht="15" hidden="false" customHeight="false" outlineLevel="0" collapsed="false">
      <c r="A3" s="13" t="s">
        <v>431</v>
      </c>
    </row>
    <row r="6" customFormat="false" ht="15" hidden="false" customHeight="false" outlineLevel="0" collapsed="false">
      <c r="B6" s="15" t="s">
        <v>432</v>
      </c>
      <c r="C6" s="15" t="s">
        <v>166</v>
      </c>
      <c r="D6" s="15" t="s">
        <v>167</v>
      </c>
      <c r="E6" s="15" t="s">
        <v>356</v>
      </c>
      <c r="F6" s="15" t="s">
        <v>357</v>
      </c>
    </row>
    <row r="7" customFormat="false" ht="15" hidden="false" customHeight="false" outlineLevel="0" collapsed="false">
      <c r="B7" s="6" t="s">
        <v>334</v>
      </c>
      <c r="C7" s="37" t="n">
        <f aca="false">'P&amp;L vs Budget'!H13</f>
        <v>37750.6</v>
      </c>
      <c r="D7" s="37" t="n">
        <f aca="false">'P&amp;L vs Budget'!I13</f>
        <v>38661.2</v>
      </c>
      <c r="E7" s="37" t="n">
        <f aca="false">'P&amp;L vs Budget'!J13</f>
        <v>-910.599999999999</v>
      </c>
      <c r="F7" s="51" t="n">
        <f aca="false">'P&amp;L vs Budget'!K13</f>
        <v>-0.0235533299535451</v>
      </c>
    </row>
    <row r="8" customFormat="false" ht="15" hidden="false" customHeight="false" outlineLevel="0" collapsed="false">
      <c r="B8" s="6" t="s">
        <v>336</v>
      </c>
      <c r="C8" s="37" t="n">
        <f aca="false">'P&amp;L vs Budget'!H19</f>
        <v>14798.3</v>
      </c>
      <c r="D8" s="37" t="n">
        <f aca="false">'P&amp;L vs Budget'!I19</f>
        <v>15465</v>
      </c>
      <c r="E8" s="37" t="n">
        <f aca="false">'P&amp;L vs Budget'!J19</f>
        <v>-666.699999999994</v>
      </c>
      <c r="F8" s="51" t="n">
        <f aca="false">'P&amp;L vs Budget'!K19</f>
        <v>-0.0431102489492398</v>
      </c>
    </row>
    <row r="9" customFormat="false" ht="15" hidden="false" customHeight="false" outlineLevel="0" collapsed="false">
      <c r="B9" s="6" t="s">
        <v>338</v>
      </c>
      <c r="C9" s="37" t="n">
        <f aca="false">'P&amp;L vs Budget'!H32</f>
        <v>4298.9</v>
      </c>
      <c r="D9" s="37" t="n">
        <f aca="false">'P&amp;L vs Budget'!I32</f>
        <v>4806.09999999999</v>
      </c>
      <c r="E9" s="37" t="n">
        <f aca="false">'P&amp;L vs Budget'!J32</f>
        <v>-507.199999999993</v>
      </c>
      <c r="F9" s="51" t="n">
        <f aca="false">'P&amp;L vs Budget'!K32</f>
        <v>-0.105532552381348</v>
      </c>
    </row>
    <row r="10" customFormat="false" ht="15" hidden="false" customHeight="false" outlineLevel="0" collapsed="false">
      <c r="B10" s="6" t="s">
        <v>340</v>
      </c>
      <c r="C10" s="37" t="n">
        <f aca="false">'P&amp;L vs Budget'!H38</f>
        <v>3221.3</v>
      </c>
      <c r="D10" s="37" t="n">
        <f aca="false">'P&amp;L vs Budget'!I38</f>
        <v>3728.49999999999</v>
      </c>
      <c r="E10" s="37" t="n">
        <f aca="false">'P&amp;L vs Budget'!J38</f>
        <v>-507.199999999993</v>
      </c>
      <c r="F10" s="51" t="n">
        <f aca="false">'P&amp;L vs Budget'!K38</f>
        <v>-0.136033257342093</v>
      </c>
    </row>
    <row r="11" customFormat="false" ht="15" hidden="false" customHeight="false" outlineLevel="0" collapsed="false">
      <c r="B11" s="6" t="s">
        <v>342</v>
      </c>
      <c r="C11" s="37" t="n">
        <f aca="false">'P&amp;L vs Budget'!H44</f>
        <v>2851.8</v>
      </c>
      <c r="D11" s="37" t="n">
        <f aca="false">'P&amp;L vs Budget'!I44</f>
        <v>3440.99999999999</v>
      </c>
      <c r="E11" s="37" t="n">
        <f aca="false">'P&amp;L vs Budget'!J44</f>
        <v>-589.199999999994</v>
      </c>
      <c r="F11" s="51" t="n">
        <f aca="false">'P&amp;L vs Budget'!K44</f>
        <v>-0.171229293809938</v>
      </c>
    </row>
    <row r="12" customFormat="false" ht="15" hidden="false" customHeight="false" outlineLevel="0" collapsed="false">
      <c r="B12" s="57" t="s">
        <v>344</v>
      </c>
      <c r="C12" s="58" t="n">
        <f aca="false">'P&amp;L vs Budget'!H49</f>
        <v>2588.8</v>
      </c>
      <c r="D12" s="58" t="n">
        <f aca="false">'P&amp;L vs Budget'!I49</f>
        <v>3118.89999999999</v>
      </c>
      <c r="E12" s="58" t="n">
        <f aca="false">'P&amp;L vs Budget'!J49</f>
        <v>-530.099999999994</v>
      </c>
      <c r="F12" s="59" t="n">
        <f aca="false">'P&amp;L vs Budget'!K49</f>
        <v>-0.169963769277628</v>
      </c>
    </row>
    <row r="13" customFormat="false" ht="15" hidden="false" customHeight="false" outlineLevel="0" collapsed="false">
      <c r="B13" s="10" t="s">
        <v>409</v>
      </c>
      <c r="C13" s="51" t="n">
        <f aca="false">IFERROR('P&amp;L vs Budget'!H19/'P&amp;L vs Budget'!H13,0)</f>
        <v>0.392001716529009</v>
      </c>
      <c r="D13" s="51" t="n">
        <f aca="false">IFERROR('P&amp;L vs Budget'!I19/'P&amp;L vs Budget'!I13,0)</f>
        <v>0.400013450177439</v>
      </c>
      <c r="E13" s="60" t="n">
        <f aca="false">C13-D13</f>
        <v>-0.00801173364842994</v>
      </c>
    </row>
    <row r="14" customFormat="false" ht="15" hidden="false" customHeight="false" outlineLevel="0" collapsed="false">
      <c r="B14" s="10" t="s">
        <v>410</v>
      </c>
      <c r="C14" s="51" t="n">
        <f aca="false">IFERROR('P&amp;L vs Budget'!H32/'P&amp;L vs Budget'!H13,0)</f>
        <v>0.113876335740359</v>
      </c>
      <c r="D14" s="51" t="n">
        <f aca="false">IFERROR('P&amp;L vs Budget'!I32/'P&amp;L vs Budget'!I13,0)</f>
        <v>0.124313264978842</v>
      </c>
      <c r="E14" s="60" t="n">
        <f aca="false">C14-D14</f>
        <v>-0.0104369292384826</v>
      </c>
    </row>
    <row r="15" customFormat="false" ht="15" hidden="false" customHeight="false" outlineLevel="0" collapsed="false">
      <c r="B15" s="10" t="s">
        <v>433</v>
      </c>
      <c r="C15" s="51" t="n">
        <f aca="false">IFERROR('P&amp;L vs Budget'!H38/'P&amp;L vs Budget'!H13,0)</f>
        <v>0.0853310940753259</v>
      </c>
      <c r="D15" s="51" t="n">
        <f aca="false">IFERROR('P&amp;L vs Budget'!I38/'P&amp;L vs Budget'!I13,0)</f>
        <v>0.0964403588093487</v>
      </c>
      <c r="E15" s="60" t="n">
        <f aca="false">C15-D15</f>
        <v>-0.0111092647340228</v>
      </c>
    </row>
    <row r="17" customFormat="false" ht="15" hidden="false" customHeight="false" outlineLevel="0" collapsed="false">
      <c r="B17" s="6" t="s">
        <v>434</v>
      </c>
      <c r="C17" s="37" t="n">
        <f aca="false">'Balance Sheet'!O19</f>
        <v>3625.6</v>
      </c>
    </row>
    <row r="18" customFormat="false" ht="15" hidden="false" customHeight="false" outlineLevel="0" collapsed="false">
      <c r="B18" s="6" t="s">
        <v>435</v>
      </c>
      <c r="C18" s="37" t="n">
        <f aca="false">'Balance Sheet'!C19</f>
        <v>2950</v>
      </c>
    </row>
    <row r="19" customFormat="false" ht="15" hidden="false" customHeight="false" outlineLevel="0" collapsed="false">
      <c r="B19" s="6" t="s">
        <v>436</v>
      </c>
      <c r="C19" s="37" t="n">
        <f aca="false">'Cash Flow'!O23</f>
        <v>3888.6</v>
      </c>
    </row>
    <row r="20" customFormat="false" ht="15" hidden="false" customHeight="false" outlineLevel="0" collapsed="false">
      <c r="B20" s="6" t="s">
        <v>437</v>
      </c>
      <c r="C20" s="37" t="n">
        <f aca="false">'Balance Sheet'!O22</f>
        <v>20230</v>
      </c>
    </row>
    <row r="21" customFormat="false" ht="15" hidden="false" customHeight="false" outlineLevel="0" collapsed="false">
      <c r="B21" s="6" t="s">
        <v>438</v>
      </c>
      <c r="C21" s="37" t="n">
        <f aca="false">'Balance Sheet'!O44</f>
        <v>7108.8</v>
      </c>
    </row>
    <row r="22" customFormat="false" ht="15" hidden="false" customHeight="false" outlineLevel="0" collapsed="false">
      <c r="B22" s="61" t="s">
        <v>439</v>
      </c>
      <c r="H22" s="5"/>
    </row>
    <row r="23" customFormat="false" ht="45.75" hidden="false" customHeight="true" outlineLevel="0" collapsed="false">
      <c r="H23" s="7" t="s">
        <v>440</v>
      </c>
    </row>
    <row r="24" customFormat="false" ht="45.75" hidden="false" customHeight="true" outlineLevel="0" collapsed="false">
      <c r="H24" s="7" t="s">
        <v>441</v>
      </c>
    </row>
    <row r="25" customFormat="false" ht="45.75" hidden="false" customHeight="true" outlineLevel="0" collapsed="false">
      <c r="H25" s="7" t="s">
        <v>442</v>
      </c>
    </row>
    <row r="27" customFormat="false" ht="15" hidden="false" customHeight="false" outlineLevel="0" collapsed="false">
      <c r="B27" s="61" t="s">
        <v>443</v>
      </c>
      <c r="H27" s="5"/>
    </row>
    <row r="28" customFormat="false" ht="45.75" hidden="false" customHeight="true" outlineLevel="0" collapsed="false">
      <c r="H28" s="7" t="s">
        <v>444</v>
      </c>
    </row>
    <row r="29" customFormat="false" ht="73.5" hidden="false" customHeight="true" outlineLevel="0" collapsed="false">
      <c r="H29" s="7" t="s">
        <v>445</v>
      </c>
    </row>
    <row r="30" customFormat="false" ht="60" hidden="false" customHeight="true" outlineLevel="0" collapsed="false">
      <c r="H30" s="7" t="s">
        <v>446</v>
      </c>
    </row>
    <row r="32" customFormat="false" ht="15" hidden="false" customHeight="false" outlineLevel="0" collapsed="false">
      <c r="B32" s="61" t="s">
        <v>447</v>
      </c>
      <c r="H32" s="5"/>
    </row>
    <row r="33" customFormat="false" ht="18" hidden="false" customHeight="true" outlineLevel="0" collapsed="false">
      <c r="H33" s="7" t="s">
        <v>448</v>
      </c>
    </row>
    <row r="34" customFormat="false" ht="45.75" hidden="false" customHeight="true" outlineLevel="0" collapsed="false">
      <c r="H34" s="7" t="s">
        <v>449</v>
      </c>
    </row>
    <row r="35" customFormat="false" ht="73.5" hidden="false" customHeight="true" outlineLevel="0" collapsed="false">
      <c r="H35" s="7" t="s">
        <v>450</v>
      </c>
    </row>
    <row r="37" customFormat="false" ht="15" hidden="false" customHeight="false" outlineLevel="0" collapsed="false">
      <c r="B37" s="61" t="s">
        <v>451</v>
      </c>
      <c r="H37" s="5"/>
    </row>
    <row r="38" customFormat="false" ht="18" hidden="false" customHeight="true" outlineLevel="0" collapsed="false">
      <c r="H38" s="7" t="s">
        <v>452</v>
      </c>
    </row>
    <row r="39" customFormat="false" ht="60" hidden="false" customHeight="true" outlineLevel="0" collapsed="false">
      <c r="H39" s="7" t="s">
        <v>453</v>
      </c>
    </row>
    <row r="40" customFormat="false" ht="60" hidden="false" customHeight="true" outlineLevel="0" collapsed="false">
      <c r="H40" s="7" t="s">
        <v>454</v>
      </c>
    </row>
    <row r="41" customFormat="false" ht="31.5" hidden="false" customHeight="true" outlineLevel="0" collapsed="false">
      <c r="H41" s="7" t="s">
        <v>455</v>
      </c>
    </row>
    <row r="43" customFormat="false" ht="15" hidden="false" customHeight="false" outlineLevel="0" collapsed="false">
      <c r="B43" s="61" t="s">
        <v>456</v>
      </c>
      <c r="H43" s="5"/>
    </row>
    <row r="44" customFormat="false" ht="31.5" hidden="false" customHeight="true" outlineLevel="0" collapsed="false">
      <c r="H44" s="7" t="s">
        <v>457</v>
      </c>
    </row>
    <row r="45" customFormat="false" ht="60" hidden="false" customHeight="true" outlineLevel="0" collapsed="false">
      <c r="H45" s="7" t="s">
        <v>458</v>
      </c>
    </row>
    <row r="46" customFormat="false" ht="45.75" hidden="false" customHeight="true" outlineLevel="0" collapsed="false">
      <c r="H46" s="7" t="s">
        <v>459</v>
      </c>
    </row>
    <row r="48" customFormat="false" ht="15" hidden="false" customHeight="false" outlineLevel="0" collapsed="false">
      <c r="B48" s="61" t="s">
        <v>460</v>
      </c>
      <c r="H48" s="5"/>
    </row>
    <row r="49" customFormat="false" ht="45.75" hidden="false" customHeight="true" outlineLevel="0" collapsed="false">
      <c r="H49" s="7" t="s">
        <v>461</v>
      </c>
    </row>
    <row r="50" customFormat="false" ht="60" hidden="false" customHeight="true" outlineLevel="0" collapsed="false">
      <c r="H50" s="7" t="s">
        <v>462</v>
      </c>
    </row>
    <row r="51" customFormat="false" ht="45.75" hidden="false" customHeight="true" outlineLevel="0" collapsed="false">
      <c r="H51" s="7" t="s">
        <v>463</v>
      </c>
    </row>
    <row r="52" customFormat="false" ht="31.5" hidden="false" customHeight="true" outlineLevel="0" collapsed="false">
      <c r="H52" s="7" t="s">
        <v>464</v>
      </c>
    </row>
    <row r="54" customFormat="false" ht="15" hidden="false" customHeight="false" outlineLevel="0" collapsed="false">
      <c r="B54" s="61" t="s">
        <v>465</v>
      </c>
      <c r="H54" s="5"/>
    </row>
    <row r="55" customFormat="false" ht="45.75" hidden="false" customHeight="true" outlineLevel="0" collapsed="false">
      <c r="H55" s="7" t="s">
        <v>466</v>
      </c>
    </row>
    <row r="56" customFormat="false" ht="45.75" hidden="false" customHeight="true" outlineLevel="0" collapsed="false">
      <c r="H56" s="7" t="s">
        <v>467</v>
      </c>
    </row>
    <row r="57" customFormat="false" ht="31.5" hidden="false" customHeight="true" outlineLevel="0" collapsed="false">
      <c r="H57" s="7" t="s">
        <v>468</v>
      </c>
    </row>
    <row r="59" customFormat="false" ht="15" hidden="false" customHeight="false" outlineLevel="0" collapsed="false">
      <c r="B59" s="61" t="s">
        <v>469</v>
      </c>
      <c r="H59" s="5"/>
    </row>
    <row r="60" customFormat="false" ht="18" hidden="false" customHeight="true" outlineLevel="0" collapsed="false">
      <c r="H60" s="7" t="s">
        <v>470</v>
      </c>
    </row>
    <row r="61" customFormat="false" ht="45.75" hidden="false" customHeight="true" outlineLevel="0" collapsed="false">
      <c r="H61" s="7" t="s">
        <v>471</v>
      </c>
    </row>
    <row r="62" customFormat="false" ht="31.5" hidden="false" customHeight="true" outlineLevel="0" collapsed="false">
      <c r="H62" s="7" t="s">
        <v>472</v>
      </c>
    </row>
    <row r="63" customFormat="false" ht="31.5" hidden="false" customHeight="true" outlineLevel="0" collapsed="false">
      <c r="H63" s="7" t="s">
        <v>473</v>
      </c>
    </row>
    <row r="64" customFormat="false" ht="45.75" hidden="false" customHeight="true" outlineLevel="0" collapsed="false">
      <c r="H64" s="7" t="s">
        <v>474</v>
      </c>
    </row>
    <row r="65" customFormat="false" ht="45.75" hidden="false" customHeight="true" outlineLevel="0" collapsed="false">
      <c r="H65" s="7" t="s">
        <v>475</v>
      </c>
    </row>
    <row r="68" customFormat="false" ht="15" hidden="false" customHeight="false" outlineLevel="0" collapsed="false">
      <c r="H68" s="13" t="s">
        <v>476</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E7D32"/>
    <pageSetUpPr fitToPage="true"/>
  </sheetPr>
  <dimension ref="A1:F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6"/>
    <col collapsed="false" customWidth="true" hidden="false" outlineLevel="0" max="3" min="3" style="0" width="62"/>
    <col collapsed="false" customWidth="true" hidden="false" outlineLevel="0" max="4" min="4" style="0" width="16"/>
    <col collapsed="false" customWidth="true" hidden="false" outlineLevel="0" max="5" min="5" style="0" width="12"/>
    <col collapsed="false" customWidth="true" hidden="false" outlineLevel="0" max="6" min="6" style="0" width="62"/>
  </cols>
  <sheetData>
    <row r="1" customFormat="false" ht="15" hidden="false" customHeight="false" outlineLevel="0" collapsed="false">
      <c r="A1" s="11" t="s">
        <v>0</v>
      </c>
    </row>
    <row r="2" customFormat="false" ht="19.7" hidden="false" customHeight="false" outlineLevel="0" collapsed="false">
      <c r="A2" s="12" t="s">
        <v>477</v>
      </c>
    </row>
    <row r="3" customFormat="false" ht="15" hidden="false" customHeight="false" outlineLevel="0" collapsed="false">
      <c r="A3" s="13" t="s">
        <v>478</v>
      </c>
    </row>
    <row r="6" customFormat="false" ht="15" hidden="false" customHeight="false" outlineLevel="0" collapsed="false">
      <c r="B6" s="15" t="s">
        <v>479</v>
      </c>
      <c r="C6" s="15" t="s">
        <v>480</v>
      </c>
      <c r="D6" s="15" t="s">
        <v>481</v>
      </c>
      <c r="E6" s="15" t="s">
        <v>482</v>
      </c>
      <c r="F6" s="15" t="s">
        <v>483</v>
      </c>
    </row>
    <row r="7" customFormat="false" ht="31.5" hidden="false" customHeight="true" outlineLevel="0" collapsed="false">
      <c r="B7" s="62" t="n">
        <v>1</v>
      </c>
      <c r="C7" s="10" t="s">
        <v>484</v>
      </c>
      <c r="D7" s="63" t="n">
        <f aca="false">SUMPRODUCT(ABS('TB Actual'!E62:R62))</f>
        <v>3.13171710786264E-012</v>
      </c>
      <c r="E7" s="64" t="str">
        <f aca="false">IF(ABS(D7)&lt;0.000001,"PASS","FAIL")</f>
        <v>PASS</v>
      </c>
      <c r="F7" s="65" t="s">
        <v>485</v>
      </c>
    </row>
    <row r="8" customFormat="false" ht="31.5" hidden="false" customHeight="true" outlineLevel="0" collapsed="false">
      <c r="B8" s="66" t="n">
        <v>2</v>
      </c>
      <c r="C8" s="67" t="s">
        <v>486</v>
      </c>
      <c r="D8" s="63" t="n">
        <f aca="false">SUMPRODUCT(ABS('TB Budget'!E62:R62))</f>
        <v>4.73754369068047E-012</v>
      </c>
      <c r="E8" s="64" t="str">
        <f aca="false">IF(ABS(D8)&lt;0.000001,"PASS","FAIL")</f>
        <v>PASS</v>
      </c>
      <c r="F8" s="65" t="s">
        <v>487</v>
      </c>
    </row>
    <row r="9" customFormat="false" ht="31.5" hidden="false" customHeight="true" outlineLevel="0" collapsed="false">
      <c r="B9" s="62" t="n">
        <v>3</v>
      </c>
      <c r="C9" s="10" t="s">
        <v>488</v>
      </c>
      <c r="D9" s="63" t="n">
        <f aca="false">SUMPRODUCT(ABS('Balance Sheet'!C48:O48))</f>
        <v>0</v>
      </c>
      <c r="E9" s="64" t="str">
        <f aca="false">IF(ABS(D9)&lt;0.000001,"PASS","FAIL")</f>
        <v>PASS</v>
      </c>
      <c r="F9" s="65" t="s">
        <v>489</v>
      </c>
    </row>
    <row r="10" customFormat="false" ht="31.5" hidden="false" customHeight="true" outlineLevel="0" collapsed="false">
      <c r="B10" s="66" t="n">
        <v>4</v>
      </c>
      <c r="C10" s="67" t="s">
        <v>490</v>
      </c>
      <c r="D10" s="63" t="n">
        <f aca="false">SUMPRODUCT(ABS('Cash Flow'!C42:N42))</f>
        <v>0</v>
      </c>
      <c r="E10" s="64" t="str">
        <f aca="false">IF(ABS(D10)&lt;0.000001,"PASS","FAIL")</f>
        <v>PASS</v>
      </c>
      <c r="F10" s="65" t="s">
        <v>491</v>
      </c>
    </row>
    <row r="11" customFormat="false" ht="31.5" hidden="false" customHeight="true" outlineLevel="0" collapsed="false">
      <c r="B11" s="62" t="n">
        <v>5</v>
      </c>
      <c r="C11" s="10" t="s">
        <v>492</v>
      </c>
      <c r="D11" s="63" t="n">
        <f aca="false">ROUND('P&amp;L Monthly'!O49+SUM('TB Actual'!R34:R60),6)</f>
        <v>0</v>
      </c>
      <c r="E11" s="64" t="str">
        <f aca="false">IF(ABS(D11)&lt;0.000001,"PASS","FAIL")</f>
        <v>PASS</v>
      </c>
      <c r="F11" s="65" t="s">
        <v>493</v>
      </c>
    </row>
    <row r="12" customFormat="false" ht="31.5" hidden="false" customHeight="true" outlineLevel="0" collapsed="false">
      <c r="B12" s="66" t="n">
        <v>6</v>
      </c>
      <c r="C12" s="67" t="s">
        <v>494</v>
      </c>
      <c r="D12" s="63" t="n">
        <f aca="false">ROUND('P&amp;L Monthly'!O49-SUM('P&amp;L Monthly'!C49:N49),6)</f>
        <v>0</v>
      </c>
      <c r="E12" s="64" t="str">
        <f aca="false">IF(ABS(D12)&lt;0.000001,"PASS","FAIL")</f>
        <v>PASS</v>
      </c>
      <c r="F12" s="65" t="s">
        <v>495</v>
      </c>
    </row>
    <row r="13" customFormat="false" ht="31.5" hidden="false" customHeight="true" outlineLevel="0" collapsed="false">
      <c r="B13" s="62" t="n">
        <v>7</v>
      </c>
      <c r="C13" s="10" t="s">
        <v>496</v>
      </c>
      <c r="D13" s="63" t="n">
        <f aca="false">ROUND('Balance Sheet'!C44+'P&amp;L Monthly'!O49-1200-'Balance Sheet'!O44,6)</f>
        <v>0</v>
      </c>
      <c r="E13" s="64" t="str">
        <f aca="false">IF(ABS(D13)&lt;0.000001,"PASS","FAIL")</f>
        <v>PASS</v>
      </c>
      <c r="F13" s="65" t="s">
        <v>497</v>
      </c>
    </row>
    <row r="14" customFormat="false" ht="31.5" hidden="false" customHeight="true" outlineLevel="0" collapsed="false">
      <c r="B14" s="66" t="n">
        <v>8</v>
      </c>
      <c r="C14" s="67" t="s">
        <v>498</v>
      </c>
      <c r="D14" s="63" t="n">
        <f aca="false">ROUND('Cash Flow'!O37-('Balance Sheet'!O19-'Balance Sheet'!C19),6)</f>
        <v>0</v>
      </c>
      <c r="E14" s="64" t="str">
        <f aca="false">IF(ABS(D14)&lt;0.000001,"PASS","FAIL")</f>
        <v>PASS</v>
      </c>
      <c r="F14" s="65" t="s">
        <v>499</v>
      </c>
    </row>
    <row r="15" customFormat="false" ht="31.5" hidden="false" customHeight="true" outlineLevel="0" collapsed="false">
      <c r="B15" s="62" t="n">
        <v>9</v>
      </c>
      <c r="C15" s="10" t="s">
        <v>500</v>
      </c>
      <c r="D15" s="63" t="n">
        <f aca="false">SUMPRODUCT(COUNTIF('Chart of Accounts'!$B$7:$B$60,'Chart of Accounts'!$B$7:$B$60))-54</f>
        <v>0</v>
      </c>
      <c r="E15" s="64" t="str">
        <f aca="false">IF(ABS(D15)&lt;0.000001,"PASS","FAIL")</f>
        <v>PASS</v>
      </c>
      <c r="F15" s="65" t="s">
        <v>501</v>
      </c>
    </row>
    <row r="16" customFormat="false" ht="31.5" hidden="false" customHeight="true" outlineLevel="0" collapsed="false">
      <c r="B16" s="66" t="n">
        <v>10</v>
      </c>
      <c r="C16" s="67" t="s">
        <v>502</v>
      </c>
      <c r="D16" s="63" t="n">
        <f aca="false">ROUND(SUM('TB Actual'!R$7:R$60)-SUM('TB Actual'!E$7:Q$60),6)</f>
        <v>-0</v>
      </c>
      <c r="E16" s="64" t="str">
        <f aca="false">IF(ABS(D16)&lt;0.000001,"PASS","FAIL")</f>
        <v>PASS</v>
      </c>
      <c r="F16" s="65" t="s">
        <v>503</v>
      </c>
    </row>
    <row r="18" customFormat="false" ht="15" hidden="false" customHeight="false" outlineLevel="0" collapsed="false">
      <c r="C18" s="6" t="s">
        <v>504</v>
      </c>
      <c r="D18" s="68" t="n">
        <f aca="false">SUMPRODUCT(ABS(D7:D16))</f>
        <v>7.86926079854311E-012</v>
      </c>
      <c r="E18" s="69" t="str">
        <f aca="false">IF(ABS(D18)&lt;0.000001,"ALL CHECKS PASS","REVIEW REQUIRED")</f>
        <v>ALL CHECKS PASS</v>
      </c>
    </row>
    <row r="20" customFormat="false" ht="15" hidden="false" customHeight="false" outlineLevel="0" collapsed="false">
      <c r="C20" s="13" t="s">
        <v>505</v>
      </c>
    </row>
    <row r="21" customFormat="false" ht="15" hidden="false" customHeight="false" outlineLevel="0" collapsed="false">
      <c r="C21" s="13" t="s">
        <v>506</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552"/>
    <pageSetUpPr fitToPage="true"/>
  </sheetPr>
  <dimension ref="A1:N5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4"/>
    <col collapsed="false" customWidth="true" hidden="false" outlineLevel="0" max="14" min="3" style="0" width="8"/>
  </cols>
  <sheetData>
    <row r="1" customFormat="false" ht="15" hidden="false" customHeight="false" outlineLevel="0" collapsed="false">
      <c r="A1" s="11" t="s">
        <v>0</v>
      </c>
    </row>
    <row r="2" customFormat="false" ht="19.7" hidden="false" customHeight="false" outlineLevel="0" collapsed="false">
      <c r="A2" s="12" t="s">
        <v>53</v>
      </c>
    </row>
    <row r="3" customFormat="false" ht="15" hidden="false" customHeight="false" outlineLevel="0" collapsed="false">
      <c r="A3" s="13" t="s">
        <v>73</v>
      </c>
    </row>
    <row r="6" customFormat="false" ht="15" hidden="false" customHeight="false" outlineLevel="0" collapsed="false">
      <c r="B6" s="14" t="s">
        <v>74</v>
      </c>
      <c r="C6" s="15"/>
      <c r="D6" s="15"/>
      <c r="E6" s="15"/>
      <c r="F6" s="15"/>
    </row>
    <row r="7" customFormat="false" ht="15" hidden="false" customHeight="false" outlineLevel="0" collapsed="false">
      <c r="B7" s="10" t="s">
        <v>75</v>
      </c>
      <c r="C7" s="16" t="n">
        <v>41200</v>
      </c>
      <c r="D7" s="13" t="s">
        <v>76</v>
      </c>
      <c r="F7" s="13" t="s">
        <v>77</v>
      </c>
    </row>
    <row r="8" customFormat="false" ht="15" hidden="false" customHeight="false" outlineLevel="0" collapsed="false">
      <c r="B8" s="10" t="s">
        <v>78</v>
      </c>
      <c r="C8" s="16" t="n">
        <v>42000</v>
      </c>
      <c r="D8" s="13" t="s">
        <v>76</v>
      </c>
      <c r="F8" s="13" t="s">
        <v>79</v>
      </c>
    </row>
    <row r="9" customFormat="false" ht="15" hidden="false" customHeight="false" outlineLevel="0" collapsed="false">
      <c r="B9" s="10" t="s">
        <v>80</v>
      </c>
      <c r="C9" s="17" t="n">
        <v>0.6</v>
      </c>
      <c r="D9" s="13"/>
      <c r="F9" s="13" t="s">
        <v>81</v>
      </c>
    </row>
    <row r="10" customFormat="false" ht="15" hidden="false" customHeight="false" outlineLevel="0" collapsed="false">
      <c r="B10" s="10" t="s">
        <v>82</v>
      </c>
      <c r="C10" s="17" t="n">
        <v>0.3</v>
      </c>
      <c r="D10" s="13"/>
      <c r="F10" s="13" t="s">
        <v>81</v>
      </c>
    </row>
    <row r="11" customFormat="false" ht="15" hidden="false" customHeight="false" outlineLevel="0" collapsed="false">
      <c r="B11" s="10" t="s">
        <v>83</v>
      </c>
      <c r="C11" s="17" t="n">
        <v>0.07</v>
      </c>
      <c r="D11" s="13"/>
      <c r="F11" s="13" t="s">
        <v>84</v>
      </c>
    </row>
    <row r="12" customFormat="false" ht="15" hidden="false" customHeight="false" outlineLevel="0" collapsed="false">
      <c r="B12" s="10" t="s">
        <v>85</v>
      </c>
      <c r="C12" s="17" t="n">
        <v>0.13</v>
      </c>
      <c r="D12" s="13"/>
      <c r="F12" s="13"/>
    </row>
    <row r="13" customFormat="false" ht="15" hidden="false" customHeight="false" outlineLevel="0" collapsed="false">
      <c r="B13" s="10" t="s">
        <v>86</v>
      </c>
      <c r="C13" s="17" t="n">
        <v>0.032</v>
      </c>
      <c r="D13" s="13" t="s">
        <v>87</v>
      </c>
      <c r="F13" s="13" t="s">
        <v>88</v>
      </c>
    </row>
    <row r="14" customFormat="false" ht="15" hidden="false" customHeight="false" outlineLevel="0" collapsed="false">
      <c r="B14" s="10" t="s">
        <v>89</v>
      </c>
      <c r="C14" s="17" t="n">
        <v>0.039</v>
      </c>
      <c r="D14" s="13" t="s">
        <v>87</v>
      </c>
      <c r="F14" s="13" t="s">
        <v>90</v>
      </c>
    </row>
    <row r="15" customFormat="false" ht="15" hidden="false" customHeight="false" outlineLevel="0" collapsed="false">
      <c r="B15" s="10" t="s">
        <v>91</v>
      </c>
      <c r="C15" s="17" t="n">
        <v>0.0455</v>
      </c>
      <c r="D15" s="13" t="s">
        <v>87</v>
      </c>
      <c r="F15" s="13" t="s">
        <v>92</v>
      </c>
    </row>
    <row r="16" customFormat="false" ht="15" hidden="false" customHeight="false" outlineLevel="0" collapsed="false">
      <c r="B16" s="10" t="s">
        <v>93</v>
      </c>
      <c r="C16" s="17" t="n">
        <v>0.009</v>
      </c>
      <c r="D16" s="13" t="s">
        <v>87</v>
      </c>
      <c r="F16" s="13" t="s">
        <v>94</v>
      </c>
    </row>
    <row r="18" customFormat="false" ht="15" hidden="false" customHeight="false" outlineLevel="0" collapsed="false">
      <c r="B18" s="14" t="s">
        <v>95</v>
      </c>
      <c r="C18" s="15"/>
      <c r="D18" s="15"/>
      <c r="E18" s="15"/>
      <c r="F18" s="15"/>
    </row>
    <row r="19" customFormat="false" ht="15" hidden="false" customHeight="false" outlineLevel="0" collapsed="false">
      <c r="B19" s="10" t="s">
        <v>96</v>
      </c>
      <c r="C19" s="17" t="n">
        <v>0.555</v>
      </c>
      <c r="D19" s="13"/>
      <c r="F19" s="13" t="s">
        <v>97</v>
      </c>
    </row>
    <row r="20" customFormat="false" ht="15" hidden="false" customHeight="false" outlineLevel="0" collapsed="false">
      <c r="B20" s="10" t="s">
        <v>98</v>
      </c>
      <c r="C20" s="17" t="n">
        <v>0.044</v>
      </c>
      <c r="D20" s="13"/>
      <c r="F20" s="13"/>
    </row>
    <row r="21" customFormat="false" ht="15" hidden="false" customHeight="false" outlineLevel="0" collapsed="false">
      <c r="B21" s="10" t="s">
        <v>99</v>
      </c>
      <c r="C21" s="17" t="n">
        <v>0.009</v>
      </c>
      <c r="D21" s="13"/>
      <c r="F21" s="13" t="s">
        <v>100</v>
      </c>
    </row>
    <row r="22" customFormat="false" ht="15" hidden="false" customHeight="false" outlineLevel="0" collapsed="false">
      <c r="B22" s="10" t="s">
        <v>101</v>
      </c>
      <c r="C22" s="17" t="n">
        <v>0.06</v>
      </c>
      <c r="D22" s="13"/>
      <c r="F22" s="13" t="s">
        <v>102</v>
      </c>
    </row>
    <row r="23" customFormat="false" ht="15" hidden="false" customHeight="false" outlineLevel="0" collapsed="false">
      <c r="B23" s="10" t="s">
        <v>103</v>
      </c>
      <c r="C23" s="17" t="n">
        <v>0.036</v>
      </c>
      <c r="D23" s="13"/>
      <c r="F23" s="13"/>
    </row>
    <row r="24" customFormat="false" ht="15" hidden="false" customHeight="false" outlineLevel="0" collapsed="false">
      <c r="B24" s="10" t="s">
        <v>104</v>
      </c>
      <c r="C24" s="17" t="n">
        <v>0.0096</v>
      </c>
      <c r="D24" s="13"/>
      <c r="F24" s="13" t="s">
        <v>105</v>
      </c>
    </row>
    <row r="25" customFormat="false" ht="15" hidden="false" customHeight="false" outlineLevel="0" collapsed="false">
      <c r="B25" s="10" t="s">
        <v>106</v>
      </c>
      <c r="C25" s="16" t="n">
        <v>795</v>
      </c>
      <c r="D25" s="13" t="s">
        <v>76</v>
      </c>
      <c r="F25" s="13" t="s">
        <v>107</v>
      </c>
    </row>
    <row r="26" customFormat="false" ht="15" hidden="false" customHeight="false" outlineLevel="0" collapsed="false">
      <c r="B26" s="10" t="s">
        <v>108</v>
      </c>
      <c r="C26" s="17" t="n">
        <v>0.033</v>
      </c>
      <c r="D26" s="13"/>
      <c r="F26" s="13"/>
    </row>
    <row r="27" customFormat="false" ht="15" hidden="false" customHeight="false" outlineLevel="0" collapsed="false">
      <c r="B27" s="10" t="s">
        <v>109</v>
      </c>
      <c r="C27" s="16" t="n">
        <v>2235</v>
      </c>
      <c r="D27" s="13" t="s">
        <v>76</v>
      </c>
      <c r="F27" s="13" t="s">
        <v>110</v>
      </c>
    </row>
    <row r="28" customFormat="false" ht="15" hidden="false" customHeight="false" outlineLevel="0" collapsed="false">
      <c r="B28" s="10" t="s">
        <v>111</v>
      </c>
      <c r="C28" s="16" t="n">
        <v>1180</v>
      </c>
      <c r="D28" s="13" t="s">
        <v>76</v>
      </c>
      <c r="F28" s="13"/>
    </row>
    <row r="29" customFormat="false" ht="15" hidden="false" customHeight="false" outlineLevel="0" collapsed="false">
      <c r="B29" s="10" t="s">
        <v>112</v>
      </c>
      <c r="C29" s="16" t="n">
        <v>378</v>
      </c>
      <c r="D29" s="13" t="s">
        <v>76</v>
      </c>
      <c r="F29" s="13"/>
    </row>
    <row r="30" customFormat="false" ht="15" hidden="false" customHeight="false" outlineLevel="0" collapsed="false">
      <c r="B30" s="10" t="s">
        <v>113</v>
      </c>
      <c r="C30" s="16" t="n">
        <v>342</v>
      </c>
      <c r="D30" s="13" t="s">
        <v>76</v>
      </c>
      <c r="F30" s="13" t="s">
        <v>114</v>
      </c>
    </row>
    <row r="31" customFormat="false" ht="15" hidden="false" customHeight="false" outlineLevel="0" collapsed="false">
      <c r="B31" s="10" t="s">
        <v>115</v>
      </c>
      <c r="C31" s="16" t="n">
        <v>337</v>
      </c>
      <c r="D31" s="13" t="s">
        <v>76</v>
      </c>
      <c r="F31" s="13"/>
    </row>
    <row r="33" customFormat="false" ht="15" hidden="false" customHeight="false" outlineLevel="0" collapsed="false">
      <c r="B33" s="14" t="s">
        <v>116</v>
      </c>
      <c r="C33" s="15"/>
      <c r="D33" s="15"/>
      <c r="E33" s="15"/>
      <c r="F33" s="15"/>
    </row>
    <row r="34" customFormat="false" ht="15" hidden="false" customHeight="false" outlineLevel="0" collapsed="false">
      <c r="B34" s="10" t="s">
        <v>117</v>
      </c>
      <c r="C34" s="18" t="n">
        <v>20.5</v>
      </c>
      <c r="D34" s="13" t="s">
        <v>76</v>
      </c>
      <c r="F34" s="13" t="s">
        <v>118</v>
      </c>
    </row>
    <row r="35" customFormat="false" ht="15" hidden="false" customHeight="false" outlineLevel="0" collapsed="false">
      <c r="B35" s="10" t="s">
        <v>119</v>
      </c>
      <c r="C35" s="18" t="n">
        <v>43.5</v>
      </c>
      <c r="D35" s="13" t="s">
        <v>76</v>
      </c>
      <c r="F35" s="13" t="s">
        <v>120</v>
      </c>
    </row>
    <row r="36" customFormat="false" ht="15" hidden="false" customHeight="false" outlineLevel="0" collapsed="false">
      <c r="B36" s="10" t="s">
        <v>121</v>
      </c>
      <c r="C36" s="18" t="n">
        <v>25.8</v>
      </c>
      <c r="D36" s="13" t="s">
        <v>76</v>
      </c>
      <c r="F36" s="13" t="s">
        <v>122</v>
      </c>
    </row>
    <row r="37" customFormat="false" ht="15" hidden="false" customHeight="false" outlineLevel="0" collapsed="false">
      <c r="B37" s="10" t="s">
        <v>123</v>
      </c>
      <c r="C37" s="18" t="n">
        <v>18</v>
      </c>
      <c r="D37" s="13" t="s">
        <v>76</v>
      </c>
      <c r="F37" s="13" t="s">
        <v>124</v>
      </c>
    </row>
    <row r="38" customFormat="false" ht="15" hidden="false" customHeight="false" outlineLevel="0" collapsed="false">
      <c r="B38" s="10" t="s">
        <v>125</v>
      </c>
      <c r="C38" s="16" t="n">
        <v>60</v>
      </c>
      <c r="D38" s="13" t="s">
        <v>76</v>
      </c>
      <c r="F38" s="13" t="s">
        <v>126</v>
      </c>
    </row>
    <row r="39" customFormat="false" ht="15" hidden="false" customHeight="false" outlineLevel="0" collapsed="false">
      <c r="B39" s="10" t="s">
        <v>127</v>
      </c>
      <c r="C39" s="18" t="n">
        <v>56</v>
      </c>
      <c r="D39" s="13" t="s">
        <v>76</v>
      </c>
      <c r="F39" s="13" t="s">
        <v>128</v>
      </c>
    </row>
    <row r="40" customFormat="false" ht="15" hidden="false" customHeight="false" outlineLevel="0" collapsed="false">
      <c r="B40" s="10" t="s">
        <v>129</v>
      </c>
      <c r="C40" s="17" t="n">
        <v>0.061</v>
      </c>
      <c r="D40" s="13" t="s">
        <v>130</v>
      </c>
      <c r="F40" s="13" t="s">
        <v>131</v>
      </c>
    </row>
    <row r="41" customFormat="false" ht="15" hidden="false" customHeight="false" outlineLevel="0" collapsed="false">
      <c r="B41" s="10" t="s">
        <v>132</v>
      </c>
      <c r="C41" s="17" t="n">
        <v>0.052</v>
      </c>
      <c r="D41" s="13" t="s">
        <v>130</v>
      </c>
      <c r="F41" s="13" t="s">
        <v>133</v>
      </c>
    </row>
    <row r="42" customFormat="false" ht="15" hidden="false" customHeight="false" outlineLevel="0" collapsed="false">
      <c r="B42" s="10" t="s">
        <v>134</v>
      </c>
      <c r="C42" s="16" t="n">
        <v>250</v>
      </c>
      <c r="D42" s="13" t="s">
        <v>76</v>
      </c>
      <c r="F42" s="13" t="s">
        <v>135</v>
      </c>
    </row>
    <row r="43" customFormat="false" ht="15" hidden="false" customHeight="false" outlineLevel="0" collapsed="false">
      <c r="B43" s="10" t="s">
        <v>136</v>
      </c>
      <c r="C43" s="16" t="n">
        <v>1200</v>
      </c>
      <c r="D43" s="13" t="s">
        <v>76</v>
      </c>
      <c r="F43" s="13" t="s">
        <v>137</v>
      </c>
    </row>
    <row r="44" customFormat="false" ht="15" hidden="false" customHeight="false" outlineLevel="0" collapsed="false">
      <c r="B44" s="10" t="s">
        <v>138</v>
      </c>
      <c r="C44" s="17" t="n">
        <v>0.09</v>
      </c>
      <c r="D44" s="13"/>
      <c r="F44" s="13" t="s">
        <v>139</v>
      </c>
    </row>
    <row r="45" customFormat="false" ht="15" hidden="false" customHeight="false" outlineLevel="0" collapsed="false">
      <c r="B45" s="10" t="s">
        <v>140</v>
      </c>
      <c r="C45" s="17" t="n">
        <v>0.02</v>
      </c>
      <c r="D45" s="13"/>
      <c r="F45" s="13" t="s">
        <v>141</v>
      </c>
    </row>
    <row r="47" customFormat="false" ht="15" hidden="false" customHeight="false" outlineLevel="0" collapsed="false">
      <c r="B47" s="14" t="s">
        <v>142</v>
      </c>
      <c r="C47" s="15"/>
      <c r="D47" s="15"/>
      <c r="E47" s="15"/>
      <c r="F47" s="15"/>
    </row>
    <row r="48" customFormat="false" ht="15" hidden="false" customHeight="false" outlineLevel="0" collapsed="false">
      <c r="B48" s="10" t="s">
        <v>143</v>
      </c>
      <c r="C48" s="19" t="n">
        <v>62</v>
      </c>
      <c r="D48" s="13" t="s">
        <v>144</v>
      </c>
      <c r="F48" s="13" t="s">
        <v>145</v>
      </c>
    </row>
    <row r="49" customFormat="false" ht="15" hidden="false" customHeight="false" outlineLevel="0" collapsed="false">
      <c r="B49" s="10" t="s">
        <v>146</v>
      </c>
      <c r="C49" s="19" t="n">
        <v>56</v>
      </c>
      <c r="D49" s="13" t="s">
        <v>144</v>
      </c>
      <c r="F49" s="13"/>
    </row>
    <row r="50" customFormat="false" ht="15" hidden="false" customHeight="false" outlineLevel="0" collapsed="false">
      <c r="B50" s="10" t="s">
        <v>147</v>
      </c>
      <c r="C50" s="19" t="n">
        <v>82</v>
      </c>
      <c r="D50" s="13" t="s">
        <v>144</v>
      </c>
      <c r="F50" s="13" t="s">
        <v>148</v>
      </c>
    </row>
    <row r="51" customFormat="false" ht="15" hidden="false" customHeight="false" outlineLevel="0" collapsed="false">
      <c r="B51" s="10" t="s">
        <v>149</v>
      </c>
      <c r="C51" s="19" t="n">
        <v>74</v>
      </c>
      <c r="D51" s="13" t="s">
        <v>144</v>
      </c>
      <c r="F51" s="13"/>
    </row>
    <row r="52" customFormat="false" ht="15" hidden="false" customHeight="false" outlineLevel="0" collapsed="false">
      <c r="B52" s="10" t="s">
        <v>150</v>
      </c>
      <c r="C52" s="19" t="n">
        <v>74</v>
      </c>
      <c r="D52" s="13" t="s">
        <v>144</v>
      </c>
      <c r="F52" s="13" t="s">
        <v>151</v>
      </c>
    </row>
    <row r="53" customFormat="false" ht="15" hidden="false" customHeight="false" outlineLevel="0" collapsed="false">
      <c r="B53" s="10" t="s">
        <v>152</v>
      </c>
      <c r="C53" s="19" t="n">
        <v>78</v>
      </c>
      <c r="D53" s="13" t="s">
        <v>144</v>
      </c>
      <c r="F53" s="13"/>
    </row>
    <row r="56" customFormat="false" ht="15" hidden="false" customHeight="false" outlineLevel="0" collapsed="false">
      <c r="B56" s="20" t="s">
        <v>153</v>
      </c>
      <c r="C56" s="21" t="s">
        <v>154</v>
      </c>
      <c r="D56" s="21" t="s">
        <v>155</v>
      </c>
      <c r="E56" s="21" t="s">
        <v>156</v>
      </c>
      <c r="F56" s="21" t="s">
        <v>157</v>
      </c>
      <c r="G56" s="21" t="s">
        <v>158</v>
      </c>
      <c r="H56" s="21" t="s">
        <v>159</v>
      </c>
      <c r="I56" s="21" t="s">
        <v>160</v>
      </c>
      <c r="J56" s="21" t="s">
        <v>161</v>
      </c>
      <c r="K56" s="21" t="s">
        <v>162</v>
      </c>
      <c r="L56" s="21" t="s">
        <v>163</v>
      </c>
      <c r="M56" s="21" t="s">
        <v>164</v>
      </c>
      <c r="N56" s="21" t="s">
        <v>165</v>
      </c>
    </row>
    <row r="57" customFormat="false" ht="15" hidden="false" customHeight="false" outlineLevel="0" collapsed="false">
      <c r="B57" s="10" t="s">
        <v>166</v>
      </c>
      <c r="C57" s="22" t="n">
        <v>1.18</v>
      </c>
      <c r="D57" s="22" t="n">
        <v>1.12</v>
      </c>
      <c r="E57" s="22" t="n">
        <v>1.05</v>
      </c>
      <c r="F57" s="22" t="n">
        <v>0.92</v>
      </c>
      <c r="G57" s="22" t="n">
        <v>0.85</v>
      </c>
      <c r="H57" s="22" t="n">
        <v>0.78</v>
      </c>
      <c r="I57" s="22" t="n">
        <v>0.72</v>
      </c>
      <c r="J57" s="22" t="n">
        <v>0.8</v>
      </c>
      <c r="K57" s="22" t="n">
        <v>1.02</v>
      </c>
      <c r="L57" s="22" t="n">
        <v>1.2</v>
      </c>
      <c r="M57" s="22" t="n">
        <v>1.25</v>
      </c>
      <c r="N57" s="22" t="n">
        <v>1.11</v>
      </c>
    </row>
    <row r="58" customFormat="false" ht="15" hidden="false" customHeight="false" outlineLevel="0" collapsed="false">
      <c r="B58" s="10" t="s">
        <v>167</v>
      </c>
      <c r="C58" s="22" t="n">
        <v>1.14</v>
      </c>
      <c r="D58" s="22" t="n">
        <v>1.1</v>
      </c>
      <c r="E58" s="22" t="n">
        <v>1.06</v>
      </c>
      <c r="F58" s="22" t="n">
        <v>0.95</v>
      </c>
      <c r="G58" s="22" t="n">
        <v>0.88</v>
      </c>
      <c r="H58" s="22" t="n">
        <v>0.82</v>
      </c>
      <c r="I58" s="22" t="n">
        <v>0.76</v>
      </c>
      <c r="J58" s="22" t="n">
        <v>0.84</v>
      </c>
      <c r="K58" s="22" t="n">
        <v>1.03</v>
      </c>
      <c r="L58" s="22" t="n">
        <v>1.16</v>
      </c>
      <c r="M58" s="22" t="n">
        <v>1.21</v>
      </c>
      <c r="N58" s="22" t="n">
        <v>1.05</v>
      </c>
    </row>
    <row r="59" customFormat="false" ht="15" hidden="false" customHeight="false" outlineLevel="0" collapsed="false">
      <c r="B59" s="13" t="s">
        <v>168</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552"/>
    <pageSetUpPr fitToPage="true"/>
  </sheetPr>
  <dimension ref="A1:F6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0"/>
    <col collapsed="false" customWidth="true" hidden="false" outlineLevel="0" max="3" min="3" style="0" width="52"/>
    <col collapsed="false" customWidth="true" hidden="false" outlineLevel="0" max="4" min="4" style="0" width="38"/>
    <col collapsed="false" customWidth="true" hidden="false" outlineLevel="0" max="5" min="5" style="0" width="26"/>
    <col collapsed="false" customWidth="true" hidden="false" outlineLevel="0" max="6" min="6" style="0" width="8"/>
  </cols>
  <sheetData>
    <row r="1" customFormat="false" ht="15" hidden="false" customHeight="false" outlineLevel="0" collapsed="false">
      <c r="A1" s="11" t="s">
        <v>0</v>
      </c>
    </row>
    <row r="2" customFormat="false" ht="19.7" hidden="false" customHeight="false" outlineLevel="0" collapsed="false">
      <c r="A2" s="12" t="s">
        <v>55</v>
      </c>
    </row>
    <row r="3" customFormat="false" ht="15" hidden="false" customHeight="false" outlineLevel="0" collapsed="false">
      <c r="A3" s="13" t="s">
        <v>169</v>
      </c>
    </row>
    <row r="6" customFormat="false" ht="15" hidden="false" customHeight="false" outlineLevel="0" collapsed="false">
      <c r="B6" s="15" t="s">
        <v>170</v>
      </c>
      <c r="C6" s="15" t="s">
        <v>171</v>
      </c>
      <c r="D6" s="15" t="s">
        <v>172</v>
      </c>
      <c r="E6" s="15" t="s">
        <v>173</v>
      </c>
      <c r="F6" s="15" t="s">
        <v>174</v>
      </c>
    </row>
    <row r="7" customFormat="false" ht="15" hidden="false" customHeight="false" outlineLevel="0" collapsed="false">
      <c r="B7" s="23" t="s">
        <v>175</v>
      </c>
      <c r="C7" s="24" t="s">
        <v>176</v>
      </c>
      <c r="D7" s="24" t="s">
        <v>177</v>
      </c>
      <c r="E7" s="24" t="s">
        <v>178</v>
      </c>
      <c r="F7" s="25" t="s">
        <v>179</v>
      </c>
    </row>
    <row r="8" customFormat="false" ht="15" hidden="false" customHeight="false" outlineLevel="0" collapsed="false">
      <c r="B8" s="26" t="s">
        <v>180</v>
      </c>
      <c r="C8" s="27" t="s">
        <v>181</v>
      </c>
      <c r="D8" s="27" t="s">
        <v>177</v>
      </c>
      <c r="E8" s="27" t="s">
        <v>178</v>
      </c>
      <c r="F8" s="28" t="s">
        <v>179</v>
      </c>
    </row>
    <row r="9" customFormat="false" ht="15" hidden="false" customHeight="false" outlineLevel="0" collapsed="false">
      <c r="B9" s="23" t="s">
        <v>182</v>
      </c>
      <c r="C9" s="24" t="s">
        <v>183</v>
      </c>
      <c r="D9" s="24" t="s">
        <v>184</v>
      </c>
      <c r="E9" s="24" t="s">
        <v>178</v>
      </c>
      <c r="F9" s="25" t="s">
        <v>179</v>
      </c>
    </row>
    <row r="10" customFormat="false" ht="15" hidden="false" customHeight="false" outlineLevel="0" collapsed="false">
      <c r="B10" s="26" t="s">
        <v>185</v>
      </c>
      <c r="C10" s="27" t="s">
        <v>186</v>
      </c>
      <c r="D10" s="27" t="s">
        <v>184</v>
      </c>
      <c r="E10" s="27" t="s">
        <v>178</v>
      </c>
      <c r="F10" s="28" t="s">
        <v>179</v>
      </c>
    </row>
    <row r="11" customFormat="false" ht="15" hidden="false" customHeight="false" outlineLevel="0" collapsed="false">
      <c r="B11" s="23" t="s">
        <v>187</v>
      </c>
      <c r="C11" s="24" t="s">
        <v>188</v>
      </c>
      <c r="D11" s="24" t="s">
        <v>189</v>
      </c>
      <c r="E11" s="24" t="s">
        <v>178</v>
      </c>
      <c r="F11" s="25" t="s">
        <v>179</v>
      </c>
    </row>
    <row r="12" customFormat="false" ht="15" hidden="false" customHeight="false" outlineLevel="0" collapsed="false">
      <c r="B12" s="26" t="s">
        <v>190</v>
      </c>
      <c r="C12" s="27" t="s">
        <v>191</v>
      </c>
      <c r="D12" s="27" t="s">
        <v>189</v>
      </c>
      <c r="E12" s="27" t="s">
        <v>178</v>
      </c>
      <c r="F12" s="28" t="s">
        <v>179</v>
      </c>
    </row>
    <row r="13" customFormat="false" ht="15" hidden="false" customHeight="false" outlineLevel="0" collapsed="false">
      <c r="B13" s="23" t="s">
        <v>192</v>
      </c>
      <c r="C13" s="24" t="s">
        <v>193</v>
      </c>
      <c r="D13" s="24" t="s">
        <v>193</v>
      </c>
      <c r="E13" s="24" t="s">
        <v>178</v>
      </c>
      <c r="F13" s="25" t="s">
        <v>179</v>
      </c>
    </row>
    <row r="14" customFormat="false" ht="15" hidden="false" customHeight="false" outlineLevel="0" collapsed="false">
      <c r="B14" s="26" t="s">
        <v>194</v>
      </c>
      <c r="C14" s="27" t="s">
        <v>195</v>
      </c>
      <c r="D14" s="27" t="s">
        <v>196</v>
      </c>
      <c r="E14" s="27" t="s">
        <v>197</v>
      </c>
      <c r="F14" s="28" t="s">
        <v>179</v>
      </c>
    </row>
    <row r="15" customFormat="false" ht="15" hidden="false" customHeight="false" outlineLevel="0" collapsed="false">
      <c r="B15" s="23" t="s">
        <v>198</v>
      </c>
      <c r="C15" s="24" t="s">
        <v>199</v>
      </c>
      <c r="D15" s="24" t="s">
        <v>196</v>
      </c>
      <c r="E15" s="24" t="s">
        <v>197</v>
      </c>
      <c r="F15" s="25" t="s">
        <v>179</v>
      </c>
    </row>
    <row r="16" customFormat="false" ht="15" hidden="false" customHeight="false" outlineLevel="0" collapsed="false">
      <c r="B16" s="26" t="s">
        <v>200</v>
      </c>
      <c r="C16" s="27" t="s">
        <v>201</v>
      </c>
      <c r="D16" s="27" t="s">
        <v>202</v>
      </c>
      <c r="E16" s="27" t="s">
        <v>197</v>
      </c>
      <c r="F16" s="28" t="s">
        <v>179</v>
      </c>
    </row>
    <row r="17" customFormat="false" ht="15" hidden="false" customHeight="false" outlineLevel="0" collapsed="false">
      <c r="B17" s="23" t="s">
        <v>203</v>
      </c>
      <c r="C17" s="24" t="s">
        <v>204</v>
      </c>
      <c r="D17" s="24" t="s">
        <v>202</v>
      </c>
      <c r="E17" s="24" t="s">
        <v>197</v>
      </c>
      <c r="F17" s="25" t="s">
        <v>179</v>
      </c>
    </row>
    <row r="18" customFormat="false" ht="15" hidden="false" customHeight="false" outlineLevel="0" collapsed="false">
      <c r="B18" s="26" t="s">
        <v>205</v>
      </c>
      <c r="C18" s="27" t="s">
        <v>206</v>
      </c>
      <c r="D18" s="27" t="s">
        <v>206</v>
      </c>
      <c r="E18" s="27" t="s">
        <v>197</v>
      </c>
      <c r="F18" s="28" t="s">
        <v>179</v>
      </c>
    </row>
    <row r="19" customFormat="false" ht="15" hidden="false" customHeight="false" outlineLevel="0" collapsed="false">
      <c r="B19" s="23" t="s">
        <v>207</v>
      </c>
      <c r="C19" s="24" t="s">
        <v>208</v>
      </c>
      <c r="D19" s="24" t="s">
        <v>209</v>
      </c>
      <c r="E19" s="24" t="s">
        <v>197</v>
      </c>
      <c r="F19" s="25" t="s">
        <v>179</v>
      </c>
    </row>
    <row r="20" customFormat="false" ht="15" hidden="false" customHeight="false" outlineLevel="0" collapsed="false">
      <c r="B20" s="26" t="s">
        <v>210</v>
      </c>
      <c r="C20" s="27" t="s">
        <v>211</v>
      </c>
      <c r="D20" s="27" t="s">
        <v>211</v>
      </c>
      <c r="E20" s="27" t="s">
        <v>212</v>
      </c>
      <c r="F20" s="28" t="s">
        <v>213</v>
      </c>
    </row>
    <row r="21" customFormat="false" ht="15" hidden="false" customHeight="false" outlineLevel="0" collapsed="false">
      <c r="B21" s="23" t="s">
        <v>214</v>
      </c>
      <c r="C21" s="24" t="s">
        <v>215</v>
      </c>
      <c r="D21" s="24" t="s">
        <v>215</v>
      </c>
      <c r="E21" s="24" t="s">
        <v>212</v>
      </c>
      <c r="F21" s="25" t="s">
        <v>213</v>
      </c>
    </row>
    <row r="22" customFormat="false" ht="15" hidden="false" customHeight="false" outlineLevel="0" collapsed="false">
      <c r="B22" s="26" t="s">
        <v>216</v>
      </c>
      <c r="C22" s="27" t="s">
        <v>217</v>
      </c>
      <c r="D22" s="27" t="s">
        <v>218</v>
      </c>
      <c r="E22" s="27" t="s">
        <v>212</v>
      </c>
      <c r="F22" s="28" t="s">
        <v>213</v>
      </c>
    </row>
    <row r="23" customFormat="false" ht="15" hidden="false" customHeight="false" outlineLevel="0" collapsed="false">
      <c r="B23" s="23" t="s">
        <v>219</v>
      </c>
      <c r="C23" s="24" t="s">
        <v>220</v>
      </c>
      <c r="D23" s="24" t="s">
        <v>220</v>
      </c>
      <c r="E23" s="24" t="s">
        <v>212</v>
      </c>
      <c r="F23" s="25" t="s">
        <v>213</v>
      </c>
    </row>
    <row r="24" customFormat="false" ht="15" hidden="false" customHeight="false" outlineLevel="0" collapsed="false">
      <c r="B24" s="26" t="s">
        <v>221</v>
      </c>
      <c r="C24" s="27" t="s">
        <v>218</v>
      </c>
      <c r="D24" s="27" t="s">
        <v>218</v>
      </c>
      <c r="E24" s="27" t="s">
        <v>212</v>
      </c>
      <c r="F24" s="28" t="s">
        <v>213</v>
      </c>
    </row>
    <row r="25" customFormat="false" ht="15" hidden="false" customHeight="false" outlineLevel="0" collapsed="false">
      <c r="B25" s="23" t="s">
        <v>222</v>
      </c>
      <c r="C25" s="24" t="s">
        <v>223</v>
      </c>
      <c r="D25" s="24" t="s">
        <v>224</v>
      </c>
      <c r="E25" s="24" t="s">
        <v>212</v>
      </c>
      <c r="F25" s="25" t="s">
        <v>213</v>
      </c>
    </row>
    <row r="26" customFormat="false" ht="15" hidden="false" customHeight="false" outlineLevel="0" collapsed="false">
      <c r="B26" s="26" t="s">
        <v>225</v>
      </c>
      <c r="C26" s="27" t="s">
        <v>226</v>
      </c>
      <c r="D26" s="27" t="s">
        <v>227</v>
      </c>
      <c r="E26" s="27" t="s">
        <v>212</v>
      </c>
      <c r="F26" s="28" t="s">
        <v>213</v>
      </c>
    </row>
    <row r="27" customFormat="false" ht="15" hidden="false" customHeight="false" outlineLevel="0" collapsed="false">
      <c r="B27" s="23" t="s">
        <v>228</v>
      </c>
      <c r="C27" s="24" t="s">
        <v>229</v>
      </c>
      <c r="D27" s="24" t="s">
        <v>230</v>
      </c>
      <c r="E27" s="24" t="s">
        <v>212</v>
      </c>
      <c r="F27" s="25" t="s">
        <v>213</v>
      </c>
    </row>
    <row r="28" customFormat="false" ht="15" hidden="false" customHeight="false" outlineLevel="0" collapsed="false">
      <c r="B28" s="26" t="s">
        <v>231</v>
      </c>
      <c r="C28" s="27" t="s">
        <v>232</v>
      </c>
      <c r="D28" s="27" t="s">
        <v>233</v>
      </c>
      <c r="E28" s="27" t="s">
        <v>212</v>
      </c>
      <c r="F28" s="28" t="s">
        <v>213</v>
      </c>
    </row>
    <row r="29" customFormat="false" ht="15" hidden="false" customHeight="false" outlineLevel="0" collapsed="false">
      <c r="B29" s="23" t="s">
        <v>234</v>
      </c>
      <c r="C29" s="24" t="s">
        <v>235</v>
      </c>
      <c r="D29" s="24" t="s">
        <v>233</v>
      </c>
      <c r="E29" s="24" t="s">
        <v>212</v>
      </c>
      <c r="F29" s="25" t="s">
        <v>213</v>
      </c>
    </row>
    <row r="30" customFormat="false" ht="15" hidden="false" customHeight="false" outlineLevel="0" collapsed="false">
      <c r="B30" s="26" t="s">
        <v>236</v>
      </c>
      <c r="C30" s="27" t="s">
        <v>237</v>
      </c>
      <c r="D30" s="27" t="s">
        <v>238</v>
      </c>
      <c r="E30" s="27" t="s">
        <v>239</v>
      </c>
      <c r="F30" s="28" t="s">
        <v>213</v>
      </c>
    </row>
    <row r="31" customFormat="false" ht="15" hidden="false" customHeight="false" outlineLevel="0" collapsed="false">
      <c r="B31" s="23" t="s">
        <v>240</v>
      </c>
      <c r="C31" s="24" t="s">
        <v>241</v>
      </c>
      <c r="D31" s="24" t="s">
        <v>242</v>
      </c>
      <c r="E31" s="24" t="s">
        <v>239</v>
      </c>
      <c r="F31" s="25" t="s">
        <v>213</v>
      </c>
    </row>
    <row r="32" customFormat="false" ht="15" hidden="false" customHeight="false" outlineLevel="0" collapsed="false">
      <c r="B32" s="26" t="s">
        <v>243</v>
      </c>
      <c r="C32" s="27" t="s">
        <v>244</v>
      </c>
      <c r="D32" s="27" t="s">
        <v>244</v>
      </c>
      <c r="E32" s="27" t="s">
        <v>245</v>
      </c>
      <c r="F32" s="28" t="s">
        <v>246</v>
      </c>
    </row>
    <row r="33" customFormat="false" ht="15" hidden="false" customHeight="false" outlineLevel="0" collapsed="false">
      <c r="B33" s="23" t="s">
        <v>247</v>
      </c>
      <c r="C33" s="24" t="s">
        <v>248</v>
      </c>
      <c r="D33" s="24" t="s">
        <v>248</v>
      </c>
      <c r="E33" s="24" t="s">
        <v>245</v>
      </c>
      <c r="F33" s="25" t="s">
        <v>246</v>
      </c>
    </row>
    <row r="34" customFormat="false" ht="15" hidden="false" customHeight="false" outlineLevel="0" collapsed="false">
      <c r="B34" s="26" t="s">
        <v>249</v>
      </c>
      <c r="C34" s="27" t="s">
        <v>250</v>
      </c>
      <c r="D34" s="27" t="s">
        <v>251</v>
      </c>
      <c r="E34" s="27" t="s">
        <v>252</v>
      </c>
      <c r="F34" s="28" t="s">
        <v>253</v>
      </c>
    </row>
    <row r="35" customFormat="false" ht="15" hidden="false" customHeight="false" outlineLevel="0" collapsed="false">
      <c r="B35" s="23" t="s">
        <v>254</v>
      </c>
      <c r="C35" s="24" t="s">
        <v>255</v>
      </c>
      <c r="D35" s="24" t="s">
        <v>251</v>
      </c>
      <c r="E35" s="24" t="s">
        <v>252</v>
      </c>
      <c r="F35" s="25" t="s">
        <v>253</v>
      </c>
    </row>
    <row r="36" customFormat="false" ht="15" hidden="false" customHeight="false" outlineLevel="0" collapsed="false">
      <c r="B36" s="26" t="s">
        <v>256</v>
      </c>
      <c r="C36" s="27" t="s">
        <v>257</v>
      </c>
      <c r="D36" s="27" t="s">
        <v>251</v>
      </c>
      <c r="E36" s="27" t="s">
        <v>252</v>
      </c>
      <c r="F36" s="28" t="s">
        <v>253</v>
      </c>
    </row>
    <row r="37" customFormat="false" ht="15" hidden="false" customHeight="false" outlineLevel="0" collapsed="false">
      <c r="B37" s="23" t="s">
        <v>258</v>
      </c>
      <c r="C37" s="24" t="s">
        <v>86</v>
      </c>
      <c r="D37" s="24" t="s">
        <v>86</v>
      </c>
      <c r="E37" s="24" t="s">
        <v>252</v>
      </c>
      <c r="F37" s="25" t="s">
        <v>253</v>
      </c>
    </row>
    <row r="38" customFormat="false" ht="15" hidden="false" customHeight="false" outlineLevel="0" collapsed="false">
      <c r="B38" s="26" t="s">
        <v>259</v>
      </c>
      <c r="C38" s="27" t="s">
        <v>260</v>
      </c>
      <c r="D38" s="27" t="s">
        <v>260</v>
      </c>
      <c r="E38" s="27" t="s">
        <v>252</v>
      </c>
      <c r="F38" s="28" t="s">
        <v>253</v>
      </c>
    </row>
    <row r="39" customFormat="false" ht="15" hidden="false" customHeight="false" outlineLevel="0" collapsed="false">
      <c r="B39" s="23" t="s">
        <v>261</v>
      </c>
      <c r="C39" s="24" t="s">
        <v>93</v>
      </c>
      <c r="D39" s="24" t="s">
        <v>93</v>
      </c>
      <c r="E39" s="24" t="s">
        <v>252</v>
      </c>
      <c r="F39" s="25" t="s">
        <v>253</v>
      </c>
    </row>
    <row r="40" customFormat="false" ht="15" hidden="false" customHeight="false" outlineLevel="0" collapsed="false">
      <c r="B40" s="26" t="s">
        <v>262</v>
      </c>
      <c r="C40" s="27" t="s">
        <v>263</v>
      </c>
      <c r="D40" s="27" t="s">
        <v>96</v>
      </c>
      <c r="E40" s="27" t="s">
        <v>264</v>
      </c>
      <c r="F40" s="28" t="s">
        <v>253</v>
      </c>
    </row>
    <row r="41" customFormat="false" ht="15" hidden="false" customHeight="false" outlineLevel="0" collapsed="false">
      <c r="B41" s="23" t="s">
        <v>265</v>
      </c>
      <c r="C41" s="24" t="s">
        <v>266</v>
      </c>
      <c r="D41" s="24" t="s">
        <v>98</v>
      </c>
      <c r="E41" s="24" t="s">
        <v>264</v>
      </c>
      <c r="F41" s="25" t="s">
        <v>253</v>
      </c>
    </row>
    <row r="42" customFormat="false" ht="15" hidden="false" customHeight="false" outlineLevel="0" collapsed="false">
      <c r="B42" s="26" t="s">
        <v>267</v>
      </c>
      <c r="C42" s="27" t="s">
        <v>99</v>
      </c>
      <c r="D42" s="27" t="s">
        <v>268</v>
      </c>
      <c r="E42" s="27" t="s">
        <v>264</v>
      </c>
      <c r="F42" s="28" t="s">
        <v>253</v>
      </c>
    </row>
    <row r="43" customFormat="false" ht="15" hidden="false" customHeight="false" outlineLevel="0" collapsed="false">
      <c r="B43" s="23" t="s">
        <v>269</v>
      </c>
      <c r="C43" s="24" t="s">
        <v>101</v>
      </c>
      <c r="D43" s="24" t="s">
        <v>101</v>
      </c>
      <c r="E43" s="24" t="s">
        <v>270</v>
      </c>
      <c r="F43" s="25" t="s">
        <v>253</v>
      </c>
    </row>
    <row r="44" customFormat="false" ht="15" hidden="false" customHeight="false" outlineLevel="0" collapsed="false">
      <c r="B44" s="26" t="s">
        <v>271</v>
      </c>
      <c r="C44" s="27" t="s">
        <v>103</v>
      </c>
      <c r="D44" s="27" t="s">
        <v>272</v>
      </c>
      <c r="E44" s="27" t="s">
        <v>270</v>
      </c>
      <c r="F44" s="28" t="s">
        <v>253</v>
      </c>
    </row>
    <row r="45" customFormat="false" ht="15" hidden="false" customHeight="false" outlineLevel="0" collapsed="false">
      <c r="B45" s="23" t="s">
        <v>273</v>
      </c>
      <c r="C45" s="24" t="s">
        <v>274</v>
      </c>
      <c r="D45" s="24" t="s">
        <v>104</v>
      </c>
      <c r="E45" s="24" t="s">
        <v>270</v>
      </c>
      <c r="F45" s="25" t="s">
        <v>253</v>
      </c>
    </row>
    <row r="46" customFormat="false" ht="15" hidden="false" customHeight="false" outlineLevel="0" collapsed="false">
      <c r="B46" s="26" t="s">
        <v>275</v>
      </c>
      <c r="C46" s="27" t="s">
        <v>276</v>
      </c>
      <c r="D46" s="27" t="s">
        <v>277</v>
      </c>
      <c r="E46" s="27" t="s">
        <v>270</v>
      </c>
      <c r="F46" s="28" t="s">
        <v>253</v>
      </c>
    </row>
    <row r="47" customFormat="false" ht="15" hidden="false" customHeight="false" outlineLevel="0" collapsed="false">
      <c r="B47" s="23" t="s">
        <v>278</v>
      </c>
      <c r="C47" s="24" t="s">
        <v>279</v>
      </c>
      <c r="D47" s="24" t="s">
        <v>108</v>
      </c>
      <c r="E47" s="24" t="s">
        <v>270</v>
      </c>
      <c r="F47" s="25" t="s">
        <v>253</v>
      </c>
    </row>
    <row r="48" customFormat="false" ht="15" hidden="false" customHeight="false" outlineLevel="0" collapsed="false">
      <c r="B48" s="26" t="s">
        <v>280</v>
      </c>
      <c r="C48" s="27" t="s">
        <v>281</v>
      </c>
      <c r="D48" s="27" t="s">
        <v>282</v>
      </c>
      <c r="E48" s="27" t="s">
        <v>270</v>
      </c>
      <c r="F48" s="28" t="s">
        <v>253</v>
      </c>
    </row>
    <row r="49" customFormat="false" ht="15" hidden="false" customHeight="false" outlineLevel="0" collapsed="false">
      <c r="B49" s="23" t="s">
        <v>283</v>
      </c>
      <c r="C49" s="24" t="s">
        <v>284</v>
      </c>
      <c r="D49" s="24" t="s">
        <v>285</v>
      </c>
      <c r="E49" s="24" t="s">
        <v>270</v>
      </c>
      <c r="F49" s="25" t="s">
        <v>253</v>
      </c>
    </row>
    <row r="50" customFormat="false" ht="15" hidden="false" customHeight="false" outlineLevel="0" collapsed="false">
      <c r="B50" s="26" t="s">
        <v>286</v>
      </c>
      <c r="C50" s="27" t="s">
        <v>287</v>
      </c>
      <c r="D50" s="27" t="s">
        <v>288</v>
      </c>
      <c r="E50" s="27" t="s">
        <v>270</v>
      </c>
      <c r="F50" s="28" t="s">
        <v>253</v>
      </c>
    </row>
    <row r="51" customFormat="false" ht="15" hidden="false" customHeight="false" outlineLevel="0" collapsed="false">
      <c r="B51" s="23" t="s">
        <v>289</v>
      </c>
      <c r="C51" s="24" t="s">
        <v>290</v>
      </c>
      <c r="D51" s="24" t="s">
        <v>291</v>
      </c>
      <c r="E51" s="24" t="s">
        <v>270</v>
      </c>
      <c r="F51" s="25" t="s">
        <v>253</v>
      </c>
    </row>
    <row r="52" customFormat="false" ht="15" hidden="false" customHeight="false" outlineLevel="0" collapsed="false">
      <c r="B52" s="26" t="s">
        <v>292</v>
      </c>
      <c r="C52" s="27" t="s">
        <v>293</v>
      </c>
      <c r="D52" s="27" t="s">
        <v>294</v>
      </c>
      <c r="E52" s="27" t="s">
        <v>270</v>
      </c>
      <c r="F52" s="28" t="s">
        <v>253</v>
      </c>
    </row>
    <row r="53" customFormat="false" ht="15" hidden="false" customHeight="false" outlineLevel="0" collapsed="false">
      <c r="B53" s="23" t="s">
        <v>295</v>
      </c>
      <c r="C53" s="24" t="s">
        <v>296</v>
      </c>
      <c r="D53" s="24" t="s">
        <v>297</v>
      </c>
      <c r="E53" s="24" t="s">
        <v>298</v>
      </c>
      <c r="F53" s="25" t="s">
        <v>253</v>
      </c>
    </row>
    <row r="54" customFormat="false" ht="15" hidden="false" customHeight="false" outlineLevel="0" collapsed="false">
      <c r="B54" s="26" t="s">
        <v>299</v>
      </c>
      <c r="C54" s="27" t="s">
        <v>300</v>
      </c>
      <c r="D54" s="27" t="s">
        <v>300</v>
      </c>
      <c r="E54" s="27" t="s">
        <v>298</v>
      </c>
      <c r="F54" s="28" t="s">
        <v>253</v>
      </c>
    </row>
    <row r="55" customFormat="false" ht="15" hidden="false" customHeight="false" outlineLevel="0" collapsed="false">
      <c r="B55" s="23" t="s">
        <v>301</v>
      </c>
      <c r="C55" s="24" t="s">
        <v>302</v>
      </c>
      <c r="D55" s="24" t="s">
        <v>303</v>
      </c>
      <c r="E55" s="24" t="s">
        <v>298</v>
      </c>
      <c r="F55" s="25" t="s">
        <v>253</v>
      </c>
    </row>
    <row r="56" customFormat="false" ht="15" hidden="false" customHeight="false" outlineLevel="0" collapsed="false">
      <c r="B56" s="26" t="s">
        <v>304</v>
      </c>
      <c r="C56" s="27" t="s">
        <v>305</v>
      </c>
      <c r="D56" s="27" t="s">
        <v>306</v>
      </c>
      <c r="E56" s="27" t="s">
        <v>307</v>
      </c>
      <c r="F56" s="28" t="s">
        <v>253</v>
      </c>
    </row>
    <row r="57" customFormat="false" ht="15" hidden="false" customHeight="false" outlineLevel="0" collapsed="false">
      <c r="B57" s="23" t="s">
        <v>308</v>
      </c>
      <c r="C57" s="24" t="s">
        <v>309</v>
      </c>
      <c r="D57" s="24" t="s">
        <v>310</v>
      </c>
      <c r="E57" s="24" t="s">
        <v>307</v>
      </c>
      <c r="F57" s="25" t="s">
        <v>253</v>
      </c>
    </row>
    <row r="58" customFormat="false" ht="15" hidden="false" customHeight="false" outlineLevel="0" collapsed="false">
      <c r="B58" s="26" t="s">
        <v>311</v>
      </c>
      <c r="C58" s="27" t="s">
        <v>312</v>
      </c>
      <c r="D58" s="27" t="s">
        <v>312</v>
      </c>
      <c r="E58" s="27" t="s">
        <v>307</v>
      </c>
      <c r="F58" s="28" t="s">
        <v>253</v>
      </c>
    </row>
    <row r="59" customFormat="false" ht="15" hidden="false" customHeight="false" outlineLevel="0" collapsed="false">
      <c r="B59" s="23" t="s">
        <v>313</v>
      </c>
      <c r="C59" s="24" t="s">
        <v>314</v>
      </c>
      <c r="D59" s="24" t="s">
        <v>315</v>
      </c>
      <c r="E59" s="24" t="s">
        <v>316</v>
      </c>
      <c r="F59" s="25" t="s">
        <v>253</v>
      </c>
    </row>
    <row r="60" customFormat="false" ht="15" hidden="false" customHeight="false" outlineLevel="0" collapsed="false">
      <c r="B60" s="26" t="s">
        <v>317</v>
      </c>
      <c r="C60" s="27" t="s">
        <v>318</v>
      </c>
      <c r="D60" s="27" t="s">
        <v>319</v>
      </c>
      <c r="E60" s="27" t="s">
        <v>316</v>
      </c>
      <c r="F60" s="28" t="s">
        <v>253</v>
      </c>
    </row>
    <row r="62" customFormat="false" ht="15" hidden="false" customHeight="false" outlineLevel="0" collapsed="false">
      <c r="B62" s="13" t="s">
        <v>320</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552"/>
    <pageSetUpPr fitToPage="true"/>
  </sheetPr>
  <dimension ref="A1:R6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4" ySplit="6" topLeftCell="E7" activePane="bottomRight" state="frozen"/>
      <selection pane="topLeft" activeCell="A1" activeCellId="0" sqref="A1"/>
      <selection pane="topRight" activeCell="E1" activeCellId="0" sqref="E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9"/>
    <col collapsed="false" customWidth="true" hidden="false" outlineLevel="0" max="3" min="3" style="0" width="50"/>
    <col collapsed="false" customWidth="true" hidden="false" outlineLevel="0" max="4" min="4" style="0" width="34"/>
    <col collapsed="false" customWidth="true" hidden="false" outlineLevel="0" max="18" min="5" style="0" width="11"/>
  </cols>
  <sheetData>
    <row r="1" customFormat="false" ht="15" hidden="false" customHeight="false" outlineLevel="0" collapsed="false">
      <c r="A1" s="11" t="s">
        <v>0</v>
      </c>
    </row>
    <row r="2" customFormat="false" ht="19.7" hidden="false" customHeight="false" outlineLevel="0" collapsed="false">
      <c r="A2" s="12" t="s">
        <v>321</v>
      </c>
    </row>
    <row r="3" customFormat="false" ht="15" hidden="false" customHeight="false" outlineLevel="0" collapsed="false">
      <c r="A3" s="13" t="s">
        <v>322</v>
      </c>
    </row>
    <row r="5" customFormat="false" ht="15" hidden="false" customHeight="false" outlineLevel="0" collapsed="false">
      <c r="B5" s="13" t="s">
        <v>323</v>
      </c>
    </row>
    <row r="6" customFormat="false" ht="27.75" hidden="false" customHeight="true" outlineLevel="0" collapsed="false">
      <c r="B6" s="15" t="s">
        <v>170</v>
      </c>
      <c r="C6" s="15" t="s">
        <v>171</v>
      </c>
      <c r="D6" s="15" t="s">
        <v>172</v>
      </c>
      <c r="E6" s="29" t="s">
        <v>324</v>
      </c>
      <c r="F6" s="15" t="s">
        <v>154</v>
      </c>
      <c r="G6" s="15" t="s">
        <v>155</v>
      </c>
      <c r="H6" s="15" t="s">
        <v>156</v>
      </c>
      <c r="I6" s="15" t="s">
        <v>157</v>
      </c>
      <c r="J6" s="15" t="s">
        <v>158</v>
      </c>
      <c r="K6" s="15" t="s">
        <v>159</v>
      </c>
      <c r="L6" s="15" t="s">
        <v>160</v>
      </c>
      <c r="M6" s="15" t="s">
        <v>161</v>
      </c>
      <c r="N6" s="15" t="s">
        <v>162</v>
      </c>
      <c r="O6" s="15" t="s">
        <v>163</v>
      </c>
      <c r="P6" s="15" t="s">
        <v>164</v>
      </c>
      <c r="Q6" s="15" t="s">
        <v>165</v>
      </c>
      <c r="R6" s="29" t="s">
        <v>325</v>
      </c>
    </row>
    <row r="7" customFormat="false" ht="15" hidden="false" customHeight="false" outlineLevel="0" collapsed="false">
      <c r="B7" s="23" t="s">
        <v>175</v>
      </c>
      <c r="C7" s="24" t="s">
        <v>176</v>
      </c>
      <c r="D7" s="30" t="str">
        <f aca="false">INDEX('Chart of Accounts'!$D$7:$D$60,MATCH($B7,'Chart of Accounts'!$B$7:$B$60,0))</f>
        <v>Intangible assets</v>
      </c>
      <c r="E7" s="18" t="n">
        <v>2400</v>
      </c>
      <c r="F7" s="18" t="n">
        <v>0</v>
      </c>
      <c r="G7" s="18" t="n">
        <v>0</v>
      </c>
      <c r="H7" s="18" t="n">
        <v>0</v>
      </c>
      <c r="I7" s="18" t="n">
        <v>60</v>
      </c>
      <c r="J7" s="18" t="n">
        <v>0</v>
      </c>
      <c r="K7" s="18" t="n">
        <v>0</v>
      </c>
      <c r="L7" s="18" t="n">
        <v>0</v>
      </c>
      <c r="M7" s="18" t="n">
        <v>0</v>
      </c>
      <c r="N7" s="18" t="n">
        <v>0</v>
      </c>
      <c r="O7" s="18" t="n">
        <v>0</v>
      </c>
      <c r="P7" s="18" t="n">
        <v>0</v>
      </c>
      <c r="Q7" s="18" t="n">
        <v>0</v>
      </c>
      <c r="R7" s="31" t="n">
        <f aca="false">SUM(E7:Q7)</f>
        <v>2460</v>
      </c>
    </row>
    <row r="8" customFormat="false" ht="15" hidden="false" customHeight="false" outlineLevel="0" collapsed="false">
      <c r="B8" s="23" t="s">
        <v>180</v>
      </c>
      <c r="C8" s="24" t="s">
        <v>181</v>
      </c>
      <c r="D8" s="30" t="str">
        <f aca="false">INDEX('Chart of Accounts'!$D$7:$D$60,MATCH($B8,'Chart of Accounts'!$B$7:$B$60,0))</f>
        <v>Intangible assets</v>
      </c>
      <c r="E8" s="18" t="n">
        <v>-900</v>
      </c>
      <c r="F8" s="18" t="n">
        <v>-25.8</v>
      </c>
      <c r="G8" s="18" t="n">
        <v>-25.8</v>
      </c>
      <c r="H8" s="18" t="n">
        <v>-25.8</v>
      </c>
      <c r="I8" s="18" t="n">
        <v>-25.8</v>
      </c>
      <c r="J8" s="18" t="n">
        <v>-25.8</v>
      </c>
      <c r="K8" s="18" t="n">
        <v>-25.8</v>
      </c>
      <c r="L8" s="18" t="n">
        <v>-25.8</v>
      </c>
      <c r="M8" s="18" t="n">
        <v>-25.8</v>
      </c>
      <c r="N8" s="18" t="n">
        <v>-25.8</v>
      </c>
      <c r="O8" s="18" t="n">
        <v>-25.8</v>
      </c>
      <c r="P8" s="18" t="n">
        <v>-25.8</v>
      </c>
      <c r="Q8" s="18" t="n">
        <v>-25.8</v>
      </c>
      <c r="R8" s="31" t="n">
        <f aca="false">SUM(E8:Q8)</f>
        <v>-1209.6</v>
      </c>
    </row>
    <row r="9" customFormat="false" ht="15" hidden="false" customHeight="false" outlineLevel="0" collapsed="false">
      <c r="B9" s="23" t="s">
        <v>182</v>
      </c>
      <c r="C9" s="24" t="s">
        <v>183</v>
      </c>
      <c r="D9" s="30" t="str">
        <f aca="false">INDEX('Chart of Accounts'!$D$7:$D$60,MATCH($B9,'Chart of Accounts'!$B$7:$B$60,0))</f>
        <v>Property, plant &amp; equipment</v>
      </c>
      <c r="E9" s="18" t="n">
        <v>1850</v>
      </c>
      <c r="F9" s="18" t="n">
        <v>18</v>
      </c>
      <c r="G9" s="18" t="n">
        <v>18</v>
      </c>
      <c r="H9" s="18" t="n">
        <v>18</v>
      </c>
      <c r="I9" s="18" t="n">
        <v>18</v>
      </c>
      <c r="J9" s="18" t="n">
        <v>18</v>
      </c>
      <c r="K9" s="18" t="n">
        <v>18</v>
      </c>
      <c r="L9" s="18" t="n">
        <v>18</v>
      </c>
      <c r="M9" s="18" t="n">
        <v>198</v>
      </c>
      <c r="N9" s="18" t="n">
        <v>18</v>
      </c>
      <c r="O9" s="18" t="n">
        <v>18</v>
      </c>
      <c r="P9" s="18" t="n">
        <v>18</v>
      </c>
      <c r="Q9" s="18" t="n">
        <v>18</v>
      </c>
      <c r="R9" s="31" t="n">
        <f aca="false">SUM(E9:Q9)</f>
        <v>2246</v>
      </c>
    </row>
    <row r="10" customFormat="false" ht="15" hidden="false" customHeight="false" outlineLevel="0" collapsed="false">
      <c r="B10" s="23" t="s">
        <v>185</v>
      </c>
      <c r="C10" s="24" t="s">
        <v>186</v>
      </c>
      <c r="D10" s="30" t="str">
        <f aca="false">INDEX('Chart of Accounts'!$D$7:$D$60,MATCH($B10,'Chart of Accounts'!$B$7:$B$60,0))</f>
        <v>Property, plant &amp; equipment</v>
      </c>
      <c r="E10" s="18" t="n">
        <v>-760</v>
      </c>
      <c r="F10" s="18" t="n">
        <v>-20.5</v>
      </c>
      <c r="G10" s="18" t="n">
        <v>-20.5</v>
      </c>
      <c r="H10" s="18" t="n">
        <v>-20.5</v>
      </c>
      <c r="I10" s="18" t="n">
        <v>-20.5</v>
      </c>
      <c r="J10" s="18" t="n">
        <v>-20.5</v>
      </c>
      <c r="K10" s="18" t="n">
        <v>-20.5</v>
      </c>
      <c r="L10" s="18" t="n">
        <v>-20.5</v>
      </c>
      <c r="M10" s="18" t="n">
        <v>-20.5</v>
      </c>
      <c r="N10" s="18" t="n">
        <v>-20.5</v>
      </c>
      <c r="O10" s="18" t="n">
        <v>-20.5</v>
      </c>
      <c r="P10" s="18" t="n">
        <v>-20.5</v>
      </c>
      <c r="Q10" s="18" t="n">
        <v>-20.5</v>
      </c>
      <c r="R10" s="31" t="n">
        <f aca="false">SUM(E10:Q10)</f>
        <v>-1006</v>
      </c>
    </row>
    <row r="11" customFormat="false" ht="15" hidden="false" customHeight="false" outlineLevel="0" collapsed="false">
      <c r="B11" s="23" t="s">
        <v>187</v>
      </c>
      <c r="C11" s="24" t="s">
        <v>188</v>
      </c>
      <c r="D11" s="30" t="str">
        <f aca="false">INDEX('Chart of Accounts'!$D$7:$D$60,MATCH($B11,'Chart of Accounts'!$B$7:$B$60,0))</f>
        <v>Right-of-use assets</v>
      </c>
      <c r="E11" s="18" t="n">
        <v>3200</v>
      </c>
      <c r="F11" s="18" t="n">
        <v>0</v>
      </c>
      <c r="G11" s="18" t="n">
        <v>0</v>
      </c>
      <c r="H11" s="18" t="n">
        <v>0</v>
      </c>
      <c r="I11" s="18" t="n">
        <v>0</v>
      </c>
      <c r="J11" s="18" t="n">
        <v>0</v>
      </c>
      <c r="K11" s="18" t="n">
        <v>0</v>
      </c>
      <c r="L11" s="18" t="n">
        <v>0</v>
      </c>
      <c r="M11" s="18" t="n">
        <v>0</v>
      </c>
      <c r="N11" s="18" t="n">
        <v>0</v>
      </c>
      <c r="O11" s="18" t="n">
        <v>350</v>
      </c>
      <c r="P11" s="18" t="n">
        <v>0</v>
      </c>
      <c r="Q11" s="18" t="n">
        <v>0</v>
      </c>
      <c r="R11" s="31" t="n">
        <f aca="false">SUM(E11:Q11)</f>
        <v>3550</v>
      </c>
    </row>
    <row r="12" customFormat="false" ht="15" hidden="false" customHeight="false" outlineLevel="0" collapsed="false">
      <c r="B12" s="23" t="s">
        <v>190</v>
      </c>
      <c r="C12" s="24" t="s">
        <v>191</v>
      </c>
      <c r="D12" s="30" t="str">
        <f aca="false">INDEX('Chart of Accounts'!$D$7:$D$60,MATCH($B12,'Chart of Accounts'!$B$7:$B$60,0))</f>
        <v>Right-of-use assets</v>
      </c>
      <c r="E12" s="18" t="n">
        <v>-1180</v>
      </c>
      <c r="F12" s="18" t="n">
        <v>-43.5</v>
      </c>
      <c r="G12" s="18" t="n">
        <v>-43.5</v>
      </c>
      <c r="H12" s="18" t="n">
        <v>-43.5</v>
      </c>
      <c r="I12" s="18" t="n">
        <v>-43.5</v>
      </c>
      <c r="J12" s="18" t="n">
        <v>-43.5</v>
      </c>
      <c r="K12" s="18" t="n">
        <v>-43.5</v>
      </c>
      <c r="L12" s="18" t="n">
        <v>-43.5</v>
      </c>
      <c r="M12" s="18" t="n">
        <v>-43.5</v>
      </c>
      <c r="N12" s="18" t="n">
        <v>-43.5</v>
      </c>
      <c r="O12" s="18" t="n">
        <v>-43.5</v>
      </c>
      <c r="P12" s="18" t="n">
        <v>-43.5</v>
      </c>
      <c r="Q12" s="18" t="n">
        <v>-43.5</v>
      </c>
      <c r="R12" s="31" t="n">
        <f aca="false">SUM(E12:Q12)</f>
        <v>-1702</v>
      </c>
    </row>
    <row r="13" customFormat="false" ht="15" hidden="false" customHeight="false" outlineLevel="0" collapsed="false">
      <c r="B13" s="23" t="s">
        <v>192</v>
      </c>
      <c r="C13" s="24" t="s">
        <v>193</v>
      </c>
      <c r="D13" s="30" t="str">
        <f aca="false">INDEX('Chart of Accounts'!$D$7:$D$60,MATCH($B13,'Chart of Accounts'!$B$7:$B$60,0))</f>
        <v>Deferred tax asset</v>
      </c>
      <c r="E13" s="18" t="n">
        <v>180</v>
      </c>
      <c r="F13" s="18" t="n">
        <v>2.1</v>
      </c>
      <c r="G13" s="18" t="n">
        <v>2.1</v>
      </c>
      <c r="H13" s="18" t="n">
        <v>2.1</v>
      </c>
      <c r="I13" s="18" t="n">
        <v>2.1</v>
      </c>
      <c r="J13" s="18" t="n">
        <v>2.1</v>
      </c>
      <c r="K13" s="18" t="n">
        <v>2.1</v>
      </c>
      <c r="L13" s="18" t="n">
        <v>2.1</v>
      </c>
      <c r="M13" s="18" t="n">
        <v>2.1</v>
      </c>
      <c r="N13" s="18" t="n">
        <v>2.1</v>
      </c>
      <c r="O13" s="18" t="n">
        <v>2.1</v>
      </c>
      <c r="P13" s="18" t="n">
        <v>2.1</v>
      </c>
      <c r="Q13" s="18" t="n">
        <v>2.1</v>
      </c>
      <c r="R13" s="31" t="n">
        <f aca="false">SUM(E13:Q13)</f>
        <v>205.2</v>
      </c>
    </row>
    <row r="14" customFormat="false" ht="15" hidden="false" customHeight="false" outlineLevel="0" collapsed="false">
      <c r="B14" s="23" t="s">
        <v>194</v>
      </c>
      <c r="C14" s="24" t="s">
        <v>195</v>
      </c>
      <c r="D14" s="30" t="str">
        <f aca="false">INDEX('Chart of Accounts'!$D$7:$D$60,MATCH($B14,'Chart of Accounts'!$B$7:$B$60,0))</f>
        <v>Inventories</v>
      </c>
      <c r="E14" s="18" t="n">
        <v>5900</v>
      </c>
      <c r="F14" s="18" t="n">
        <v>-536.3</v>
      </c>
      <c r="G14" s="18" t="n">
        <v>-120.5</v>
      </c>
      <c r="H14" s="18" t="n">
        <v>-59.4</v>
      </c>
      <c r="I14" s="18" t="n">
        <v>-445.5</v>
      </c>
      <c r="J14" s="18" t="n">
        <v>-453.4</v>
      </c>
      <c r="K14" s="18" t="n">
        <v>-454.2</v>
      </c>
      <c r="L14" s="18" t="n">
        <v>-341.4</v>
      </c>
      <c r="M14" s="18" t="n">
        <v>-114.9</v>
      </c>
      <c r="N14" s="18" t="n">
        <v>316.9</v>
      </c>
      <c r="O14" s="18" t="n">
        <v>655.7</v>
      </c>
      <c r="P14" s="18" t="n">
        <v>599.6</v>
      </c>
      <c r="Q14" s="18" t="n">
        <v>78.9</v>
      </c>
      <c r="R14" s="31" t="n">
        <f aca="false">SUM(E14:Q14)</f>
        <v>5025.5</v>
      </c>
    </row>
    <row r="15" customFormat="false" ht="15" hidden="false" customHeight="false" outlineLevel="0" collapsed="false">
      <c r="B15" s="23" t="s">
        <v>198</v>
      </c>
      <c r="C15" s="24" t="s">
        <v>199</v>
      </c>
      <c r="D15" s="30" t="str">
        <f aca="false">INDEX('Chart of Accounts'!$D$7:$D$60,MATCH($B15,'Chart of Accounts'!$B$7:$B$60,0))</f>
        <v>Inventories</v>
      </c>
      <c r="E15" s="18" t="n">
        <v>-260</v>
      </c>
      <c r="F15" s="18" t="n">
        <v>0</v>
      </c>
      <c r="G15" s="18" t="n">
        <v>0</v>
      </c>
      <c r="H15" s="18" t="n">
        <v>0</v>
      </c>
      <c r="I15" s="18" t="n">
        <v>0</v>
      </c>
      <c r="J15" s="18" t="n">
        <v>0</v>
      </c>
      <c r="K15" s="18" t="n">
        <v>-30</v>
      </c>
      <c r="L15" s="18" t="n">
        <v>0</v>
      </c>
      <c r="M15" s="18" t="n">
        <v>0</v>
      </c>
      <c r="N15" s="18" t="n">
        <v>0</v>
      </c>
      <c r="O15" s="18" t="n">
        <v>0</v>
      </c>
      <c r="P15" s="18" t="n">
        <v>-45</v>
      </c>
      <c r="Q15" s="18" t="n">
        <v>0</v>
      </c>
      <c r="R15" s="31" t="n">
        <f aca="false">SUM(E15:Q15)</f>
        <v>-335</v>
      </c>
    </row>
    <row r="16" customFormat="false" ht="15" hidden="false" customHeight="false" outlineLevel="0" collapsed="false">
      <c r="B16" s="23" t="s">
        <v>200</v>
      </c>
      <c r="C16" s="24" t="s">
        <v>201</v>
      </c>
      <c r="D16" s="30" t="str">
        <f aca="false">INDEX('Chart of Accounts'!$D$7:$D$60,MATCH($B16,'Chart of Accounts'!$B$7:$B$60,0))</f>
        <v>Trade receivables</v>
      </c>
      <c r="E16" s="18" t="n">
        <v>6800</v>
      </c>
      <c r="F16" s="18" t="n">
        <v>507.2</v>
      </c>
      <c r="G16" s="18" t="n">
        <v>-163.6</v>
      </c>
      <c r="H16" s="18" t="n">
        <v>-80.4</v>
      </c>
      <c r="I16" s="18" t="n">
        <v>-606.5</v>
      </c>
      <c r="J16" s="18" t="n">
        <v>-617.4</v>
      </c>
      <c r="K16" s="18" t="n">
        <v>-618.5</v>
      </c>
      <c r="L16" s="18" t="n">
        <v>-465</v>
      </c>
      <c r="M16" s="18" t="n">
        <v>-156.3</v>
      </c>
      <c r="N16" s="18" t="n">
        <v>432.3</v>
      </c>
      <c r="O16" s="18" t="n">
        <v>894.3</v>
      </c>
      <c r="P16" s="18" t="n">
        <v>818</v>
      </c>
      <c r="Q16" s="18" t="n">
        <v>108.2</v>
      </c>
      <c r="R16" s="31" t="n">
        <f aca="false">SUM(E16:Q16)</f>
        <v>6852.3</v>
      </c>
    </row>
    <row r="17" customFormat="false" ht="15" hidden="false" customHeight="false" outlineLevel="0" collapsed="false">
      <c r="B17" s="23" t="s">
        <v>203</v>
      </c>
      <c r="C17" s="24" t="s">
        <v>204</v>
      </c>
      <c r="D17" s="30" t="str">
        <f aca="false">INDEX('Chart of Accounts'!$D$7:$D$60,MATCH($B17,'Chart of Accounts'!$B$7:$B$60,0))</f>
        <v>Trade receivables</v>
      </c>
      <c r="E17" s="18" t="n">
        <v>-170</v>
      </c>
      <c r="F17" s="18" t="n">
        <v>-4</v>
      </c>
      <c r="G17" s="18" t="n">
        <v>-4</v>
      </c>
      <c r="H17" s="18" t="n">
        <v>-4</v>
      </c>
      <c r="I17" s="18" t="n">
        <v>-4</v>
      </c>
      <c r="J17" s="18" t="n">
        <v>-4</v>
      </c>
      <c r="K17" s="18" t="n">
        <v>-4</v>
      </c>
      <c r="L17" s="18" t="n">
        <v>-4</v>
      </c>
      <c r="M17" s="18" t="n">
        <v>-4</v>
      </c>
      <c r="N17" s="18" t="n">
        <v>-4</v>
      </c>
      <c r="O17" s="18" t="n">
        <v>-4</v>
      </c>
      <c r="P17" s="18" t="n">
        <v>-4</v>
      </c>
      <c r="Q17" s="18" t="n">
        <v>-4</v>
      </c>
      <c r="R17" s="31" t="n">
        <f aca="false">SUM(E17:Q17)</f>
        <v>-218</v>
      </c>
    </row>
    <row r="18" customFormat="false" ht="15" hidden="false" customHeight="false" outlineLevel="0" collapsed="false">
      <c r="B18" s="23" t="s">
        <v>205</v>
      </c>
      <c r="C18" s="24" t="s">
        <v>206</v>
      </c>
      <c r="D18" s="30" t="str">
        <f aca="false">INDEX('Chart of Accounts'!$D$7:$D$60,MATCH($B18,'Chart of Accounts'!$B$7:$B$60,0))</f>
        <v>Other receivables &amp; prepayments</v>
      </c>
      <c r="E18" s="18" t="n">
        <v>640</v>
      </c>
      <c r="F18" s="18" t="n">
        <v>18</v>
      </c>
      <c r="G18" s="18" t="n">
        <v>18</v>
      </c>
      <c r="H18" s="18" t="n">
        <v>18</v>
      </c>
      <c r="I18" s="18" t="n">
        <v>18</v>
      </c>
      <c r="J18" s="18" t="n">
        <v>18</v>
      </c>
      <c r="K18" s="18" t="n">
        <v>18</v>
      </c>
      <c r="L18" s="18" t="n">
        <v>18</v>
      </c>
      <c r="M18" s="18" t="n">
        <v>18</v>
      </c>
      <c r="N18" s="18" t="n">
        <v>-102</v>
      </c>
      <c r="O18" s="18" t="n">
        <v>18</v>
      </c>
      <c r="P18" s="18" t="n">
        <v>18</v>
      </c>
      <c r="Q18" s="18" t="n">
        <v>18</v>
      </c>
      <c r="R18" s="31" t="n">
        <f aca="false">SUM(E18:Q18)</f>
        <v>736</v>
      </c>
    </row>
    <row r="19" customFormat="false" ht="15" hidden="false" customHeight="false" outlineLevel="0" collapsed="false">
      <c r="B19" s="23" t="s">
        <v>207</v>
      </c>
      <c r="C19" s="24" t="s">
        <v>208</v>
      </c>
      <c r="D19" s="30" t="str">
        <f aca="false">INDEX('Chart of Accounts'!$D$7:$D$60,MATCH($B19,'Chart of Accounts'!$B$7:$B$60,0))</f>
        <v>Cash and cash equivalents</v>
      </c>
      <c r="E19" s="18" t="n">
        <v>2950</v>
      </c>
      <c r="F19" s="18" t="n">
        <v>-347.3</v>
      </c>
      <c r="G19" s="18" t="n">
        <v>-347.2</v>
      </c>
      <c r="H19" s="18" t="n">
        <v>-6.9</v>
      </c>
      <c r="I19" s="18" t="n">
        <v>893.2</v>
      </c>
      <c r="J19" s="18" t="n">
        <v>996.6</v>
      </c>
      <c r="K19" s="18" t="n">
        <v>-868.5</v>
      </c>
      <c r="L19" s="18" t="n">
        <v>660.7</v>
      </c>
      <c r="M19" s="18" t="n">
        <v>441.5</v>
      </c>
      <c r="N19" s="18" t="n">
        <v>-146.4</v>
      </c>
      <c r="O19" s="18" t="n">
        <v>-67</v>
      </c>
      <c r="P19" s="18" t="n">
        <v>10.2</v>
      </c>
      <c r="Q19" s="18" t="n">
        <v>-543.3</v>
      </c>
      <c r="R19" s="31" t="n">
        <f aca="false">SUM(E19:Q19)</f>
        <v>3625.6</v>
      </c>
    </row>
    <row r="20" customFormat="false" ht="15" hidden="false" customHeight="false" outlineLevel="0" collapsed="false">
      <c r="B20" s="23" t="s">
        <v>210</v>
      </c>
      <c r="C20" s="24" t="s">
        <v>211</v>
      </c>
      <c r="D20" s="30" t="str">
        <f aca="false">INDEX('Chart of Accounts'!$D$7:$D$60,MATCH($B20,'Chart of Accounts'!$B$7:$B$60,0))</f>
        <v>Trade payables</v>
      </c>
      <c r="E20" s="18" t="n">
        <v>-5300</v>
      </c>
      <c r="F20" s="18" t="n">
        <v>75.8</v>
      </c>
      <c r="G20" s="18" t="n">
        <v>46.3</v>
      </c>
      <c r="H20" s="18" t="n">
        <v>-12.8</v>
      </c>
      <c r="I20" s="18" t="n">
        <v>379.6</v>
      </c>
      <c r="J20" s="18" t="n">
        <v>399.1</v>
      </c>
      <c r="K20" s="18" t="n">
        <v>411.9</v>
      </c>
      <c r="L20" s="18" t="n">
        <v>304.8</v>
      </c>
      <c r="M20" s="18" t="n">
        <v>70.7</v>
      </c>
      <c r="N20" s="18" t="n">
        <v>-397.2</v>
      </c>
      <c r="O20" s="18" t="n">
        <v>-782.7</v>
      </c>
      <c r="P20" s="18" t="n">
        <v>-741.9</v>
      </c>
      <c r="Q20" s="18" t="n">
        <v>-170.5</v>
      </c>
      <c r="R20" s="31" t="n">
        <f aca="false">SUM(E20:Q20)</f>
        <v>-5716.9</v>
      </c>
    </row>
    <row r="21" customFormat="false" ht="15" hidden="false" customHeight="false" outlineLevel="0" collapsed="false">
      <c r="B21" s="23" t="s">
        <v>214</v>
      </c>
      <c r="C21" s="24" t="s">
        <v>215</v>
      </c>
      <c r="D21" s="30" t="str">
        <f aca="false">INDEX('Chart of Accounts'!$D$7:$D$60,MATCH($B21,'Chart of Accounts'!$B$7:$B$60,0))</f>
        <v>Accrued customer rebates</v>
      </c>
      <c r="E21" s="18" t="n">
        <v>-1420</v>
      </c>
      <c r="F21" s="18" t="n">
        <v>322</v>
      </c>
      <c r="G21" s="18" t="n">
        <v>470</v>
      </c>
      <c r="H21" s="18" t="n">
        <v>272.1</v>
      </c>
      <c r="I21" s="18" t="n">
        <v>-123.2</v>
      </c>
      <c r="J21" s="18" t="n">
        <v>-113.8</v>
      </c>
      <c r="K21" s="18" t="n">
        <v>208.3</v>
      </c>
      <c r="L21" s="18" t="n">
        <v>-112.5</v>
      </c>
      <c r="M21" s="18" t="n">
        <v>-125</v>
      </c>
      <c r="N21" s="18" t="n">
        <v>205.7</v>
      </c>
      <c r="O21" s="18" t="n">
        <v>-187.5</v>
      </c>
      <c r="P21" s="18" t="n">
        <v>-195.3</v>
      </c>
      <c r="Q21" s="18" t="n">
        <v>338.2</v>
      </c>
      <c r="R21" s="31" t="n">
        <f aca="false">SUM(E21:Q21)</f>
        <v>-461</v>
      </c>
    </row>
    <row r="22" customFormat="false" ht="15" hidden="false" customHeight="false" outlineLevel="0" collapsed="false">
      <c r="B22" s="23" t="s">
        <v>216</v>
      </c>
      <c r="C22" s="24" t="s">
        <v>217</v>
      </c>
      <c r="D22" s="30" t="str">
        <f aca="false">INDEX('Chart of Accounts'!$D$7:$D$60,MATCH($B22,'Chart of Accounts'!$B$7:$B$60,0))</f>
        <v>Other accruals &amp; provisions</v>
      </c>
      <c r="E22" s="18" t="n">
        <v>-780</v>
      </c>
      <c r="F22" s="18" t="n">
        <v>475.9</v>
      </c>
      <c r="G22" s="18" t="n">
        <v>15.4</v>
      </c>
      <c r="H22" s="18" t="n">
        <v>9.5</v>
      </c>
      <c r="I22" s="18" t="n">
        <v>23.4</v>
      </c>
      <c r="J22" s="18" t="n">
        <v>29.9</v>
      </c>
      <c r="K22" s="18" t="n">
        <v>31.1</v>
      </c>
      <c r="L22" s="18" t="n">
        <v>20.1</v>
      </c>
      <c r="M22" s="18" t="n">
        <v>-43.5</v>
      </c>
      <c r="N22" s="18" t="n">
        <v>-135.2</v>
      </c>
      <c r="O22" s="18" t="n">
        <v>-78.2</v>
      </c>
      <c r="P22" s="18" t="n">
        <v>4.6</v>
      </c>
      <c r="Q22" s="18" t="n">
        <v>-22.5</v>
      </c>
      <c r="R22" s="31" t="n">
        <f aca="false">SUM(E22:Q22)</f>
        <v>-449.5</v>
      </c>
    </row>
    <row r="23" customFormat="false" ht="15" hidden="false" customHeight="false" outlineLevel="0" collapsed="false">
      <c r="B23" s="23" t="s">
        <v>219</v>
      </c>
      <c r="C23" s="24" t="s">
        <v>220</v>
      </c>
      <c r="D23" s="30" t="str">
        <f aca="false">INDEX('Chart of Accounts'!$D$7:$D$60,MATCH($B23,'Chart of Accounts'!$B$7:$B$60,0))</f>
        <v>Accrued personnel costs</v>
      </c>
      <c r="E23" s="18" t="n">
        <v>-690</v>
      </c>
      <c r="F23" s="18" t="n">
        <v>-62</v>
      </c>
      <c r="G23" s="18" t="n">
        <v>498</v>
      </c>
      <c r="H23" s="18" t="n">
        <v>-62</v>
      </c>
      <c r="I23" s="18" t="n">
        <v>-62</v>
      </c>
      <c r="J23" s="18" t="n">
        <v>-62</v>
      </c>
      <c r="K23" s="18" t="n">
        <v>-62</v>
      </c>
      <c r="L23" s="18" t="n">
        <v>-62</v>
      </c>
      <c r="M23" s="18" t="n">
        <v>-62</v>
      </c>
      <c r="N23" s="18" t="n">
        <v>-62</v>
      </c>
      <c r="O23" s="18" t="n">
        <v>-62</v>
      </c>
      <c r="P23" s="18" t="n">
        <v>-62</v>
      </c>
      <c r="Q23" s="18" t="n">
        <v>-62</v>
      </c>
      <c r="R23" s="31" t="n">
        <f aca="false">SUM(E23:Q23)</f>
        <v>-874</v>
      </c>
    </row>
    <row r="24" customFormat="false" ht="15" hidden="false" customHeight="false" outlineLevel="0" collapsed="false">
      <c r="B24" s="23" t="s">
        <v>221</v>
      </c>
      <c r="C24" s="24" t="s">
        <v>218</v>
      </c>
      <c r="D24" s="30" t="str">
        <f aca="false">INDEX('Chart of Accounts'!$D$7:$D$60,MATCH($B24,'Chart of Accounts'!$B$7:$B$60,0))</f>
        <v>Other accruals &amp; provisions</v>
      </c>
      <c r="E24" s="18" t="n">
        <v>-410</v>
      </c>
      <c r="F24" s="18" t="n">
        <v>-12</v>
      </c>
      <c r="G24" s="18" t="n">
        <v>-12</v>
      </c>
      <c r="H24" s="18" t="n">
        <v>-12</v>
      </c>
      <c r="I24" s="18" t="n">
        <v>-12</v>
      </c>
      <c r="J24" s="18" t="n">
        <v>-12</v>
      </c>
      <c r="K24" s="18" t="n">
        <v>-12</v>
      </c>
      <c r="L24" s="18" t="n">
        <v>-12</v>
      </c>
      <c r="M24" s="18" t="n">
        <v>-12</v>
      </c>
      <c r="N24" s="18" t="n">
        <v>-12</v>
      </c>
      <c r="O24" s="18" t="n">
        <v>-12</v>
      </c>
      <c r="P24" s="18" t="n">
        <v>-12</v>
      </c>
      <c r="Q24" s="18" t="n">
        <v>-12</v>
      </c>
      <c r="R24" s="31" t="n">
        <f aca="false">SUM(E24:Q24)</f>
        <v>-554</v>
      </c>
    </row>
    <row r="25" customFormat="false" ht="15" hidden="false" customHeight="false" outlineLevel="0" collapsed="false">
      <c r="B25" s="23" t="s">
        <v>222</v>
      </c>
      <c r="C25" s="24" t="s">
        <v>223</v>
      </c>
      <c r="D25" s="30" t="str">
        <f aca="false">INDEX('Chart of Accounts'!$D$7:$D$60,MATCH($B25,'Chart of Accounts'!$B$7:$B$60,0))</f>
        <v>Lease liabilities - current</v>
      </c>
      <c r="E25" s="18" t="n">
        <v>-520</v>
      </c>
      <c r="F25" s="18" t="n">
        <v>-40</v>
      </c>
      <c r="G25" s="18" t="n">
        <v>0</v>
      </c>
      <c r="H25" s="18" t="n">
        <v>0</v>
      </c>
      <c r="I25" s="18" t="n">
        <v>0</v>
      </c>
      <c r="J25" s="18" t="n">
        <v>0</v>
      </c>
      <c r="K25" s="18" t="n">
        <v>0</v>
      </c>
      <c r="L25" s="18" t="n">
        <v>0</v>
      </c>
      <c r="M25" s="18" t="n">
        <v>0</v>
      </c>
      <c r="N25" s="18" t="n">
        <v>0</v>
      </c>
      <c r="O25" s="18" t="n">
        <v>0</v>
      </c>
      <c r="P25" s="18" t="n">
        <v>0</v>
      </c>
      <c r="Q25" s="18" t="n">
        <v>0</v>
      </c>
      <c r="R25" s="31" t="n">
        <f aca="false">SUM(E25:Q25)</f>
        <v>-560</v>
      </c>
    </row>
    <row r="26" customFormat="false" ht="15" hidden="false" customHeight="false" outlineLevel="0" collapsed="false">
      <c r="B26" s="23" t="s">
        <v>225</v>
      </c>
      <c r="C26" s="24" t="s">
        <v>226</v>
      </c>
      <c r="D26" s="30" t="str">
        <f aca="false">INDEX('Chart of Accounts'!$D$7:$D$60,MATCH($B26,'Chart of Accounts'!$B$7:$B$60,0))</f>
        <v>Borrowings - current</v>
      </c>
      <c r="E26" s="18" t="n">
        <v>-1000</v>
      </c>
      <c r="F26" s="18" t="n">
        <v>0</v>
      </c>
      <c r="G26" s="18" t="n">
        <v>0</v>
      </c>
      <c r="H26" s="18" t="n">
        <v>0</v>
      </c>
      <c r="I26" s="18" t="n">
        <v>0</v>
      </c>
      <c r="J26" s="18" t="n">
        <v>0</v>
      </c>
      <c r="K26" s="18" t="n">
        <v>0</v>
      </c>
      <c r="L26" s="18" t="n">
        <v>0</v>
      </c>
      <c r="M26" s="18" t="n">
        <v>0</v>
      </c>
      <c r="N26" s="18" t="n">
        <v>0</v>
      </c>
      <c r="O26" s="18" t="n">
        <v>0</v>
      </c>
      <c r="P26" s="18" t="n">
        <v>0</v>
      </c>
      <c r="Q26" s="18" t="n">
        <v>0</v>
      </c>
      <c r="R26" s="31" t="n">
        <f aca="false">SUM(E26:Q26)</f>
        <v>-1000</v>
      </c>
    </row>
    <row r="27" customFormat="false" ht="15" hidden="false" customHeight="false" outlineLevel="0" collapsed="false">
      <c r="B27" s="23" t="s">
        <v>228</v>
      </c>
      <c r="C27" s="24" t="s">
        <v>229</v>
      </c>
      <c r="D27" s="30" t="str">
        <f aca="false">INDEX('Chart of Accounts'!$D$7:$D$60,MATCH($B27,'Chart of Accounts'!$B$7:$B$60,0))</f>
        <v>Current tax payable</v>
      </c>
      <c r="E27" s="18" t="n">
        <v>-120</v>
      </c>
      <c r="F27" s="18" t="n">
        <v>28.6</v>
      </c>
      <c r="G27" s="18" t="n">
        <v>-40.4</v>
      </c>
      <c r="H27" s="18" t="n">
        <v>-32</v>
      </c>
      <c r="I27" s="18" t="n">
        <v>54.5</v>
      </c>
      <c r="J27" s="18" t="n">
        <v>-19.1</v>
      </c>
      <c r="K27" s="18" t="n">
        <v>-8.3</v>
      </c>
      <c r="L27" s="18" t="n">
        <v>68.9</v>
      </c>
      <c r="M27" s="18" t="n">
        <v>-12.9</v>
      </c>
      <c r="N27" s="18" t="n">
        <v>-22.1</v>
      </c>
      <c r="O27" s="18" t="n">
        <v>42.6</v>
      </c>
      <c r="P27" s="18" t="n">
        <v>-34.7</v>
      </c>
      <c r="Q27" s="18" t="n">
        <v>-1.3</v>
      </c>
      <c r="R27" s="31" t="n">
        <f aca="false">SUM(E27:Q27)</f>
        <v>-96.2</v>
      </c>
    </row>
    <row r="28" customFormat="false" ht="15" hidden="false" customHeight="false" outlineLevel="0" collapsed="false">
      <c r="B28" s="23" t="s">
        <v>231</v>
      </c>
      <c r="C28" s="24" t="s">
        <v>232</v>
      </c>
      <c r="D28" s="30" t="str">
        <f aca="false">INDEX('Chart of Accounts'!$D$7:$D$60,MATCH($B28,'Chart of Accounts'!$B$7:$B$60,0))</f>
        <v>Other payables</v>
      </c>
      <c r="E28" s="18" t="n">
        <v>-830</v>
      </c>
      <c r="F28" s="18" t="n">
        <v>0</v>
      </c>
      <c r="G28" s="18" t="n">
        <v>25.6</v>
      </c>
      <c r="H28" s="18" t="n">
        <v>30.6</v>
      </c>
      <c r="I28" s="18" t="n">
        <v>59</v>
      </c>
      <c r="J28" s="18" t="n">
        <v>33.2</v>
      </c>
      <c r="K28" s="18" t="n">
        <v>37</v>
      </c>
      <c r="L28" s="18" t="n">
        <v>30.2</v>
      </c>
      <c r="M28" s="18" t="n">
        <v>-40.1</v>
      </c>
      <c r="N28" s="18" t="n">
        <v>-102.7</v>
      </c>
      <c r="O28" s="18" t="n">
        <v>-77.6</v>
      </c>
      <c r="P28" s="18" t="n">
        <v>-20.7</v>
      </c>
      <c r="Q28" s="18" t="n">
        <v>58.9</v>
      </c>
      <c r="R28" s="31" t="n">
        <f aca="false">SUM(E28:Q28)</f>
        <v>-796.6</v>
      </c>
    </row>
    <row r="29" customFormat="false" ht="15" hidden="false" customHeight="false" outlineLevel="0" collapsed="false">
      <c r="B29" s="23" t="s">
        <v>234</v>
      </c>
      <c r="C29" s="24" t="s">
        <v>235</v>
      </c>
      <c r="D29" s="30" t="str">
        <f aca="false">INDEX('Chart of Accounts'!$D$7:$D$60,MATCH($B29,'Chart of Accounts'!$B$7:$B$60,0))</f>
        <v>Other payables</v>
      </c>
      <c r="E29" s="18" t="n">
        <v>-300</v>
      </c>
      <c r="F29" s="18" t="n">
        <v>0</v>
      </c>
      <c r="G29" s="18" t="n">
        <v>0</v>
      </c>
      <c r="H29" s="18" t="n">
        <v>0</v>
      </c>
      <c r="I29" s="18" t="n">
        <v>0</v>
      </c>
      <c r="J29" s="18" t="n">
        <v>0</v>
      </c>
      <c r="K29" s="18" t="n">
        <v>0</v>
      </c>
      <c r="L29" s="18" t="n">
        <v>0</v>
      </c>
      <c r="M29" s="18" t="n">
        <v>0</v>
      </c>
      <c r="N29" s="18" t="n">
        <v>0</v>
      </c>
      <c r="O29" s="18" t="n">
        <v>0</v>
      </c>
      <c r="P29" s="18" t="n">
        <v>0</v>
      </c>
      <c r="Q29" s="18" t="n">
        <v>0</v>
      </c>
      <c r="R29" s="31" t="n">
        <f aca="false">SUM(E29:Q29)</f>
        <v>-300</v>
      </c>
    </row>
    <row r="30" customFormat="false" ht="15" hidden="false" customHeight="false" outlineLevel="0" collapsed="false">
      <c r="B30" s="23" t="s">
        <v>236</v>
      </c>
      <c r="C30" s="24" t="s">
        <v>237</v>
      </c>
      <c r="D30" s="30" t="str">
        <f aca="false">INDEX('Chart of Accounts'!$D$7:$D$60,MATCH($B30,'Chart of Accounts'!$B$7:$B$60,0))</f>
        <v>Lease liabilities - non-current</v>
      </c>
      <c r="E30" s="18" t="n">
        <v>-1560</v>
      </c>
      <c r="F30" s="18" t="n">
        <v>85.4</v>
      </c>
      <c r="G30" s="18" t="n">
        <v>45.7</v>
      </c>
      <c r="H30" s="18" t="n">
        <v>45.9</v>
      </c>
      <c r="I30" s="18" t="n">
        <v>46.1</v>
      </c>
      <c r="J30" s="18" t="n">
        <v>46.4</v>
      </c>
      <c r="K30" s="18" t="n">
        <v>46.6</v>
      </c>
      <c r="L30" s="18" t="n">
        <v>46.8</v>
      </c>
      <c r="M30" s="18" t="n">
        <v>47.1</v>
      </c>
      <c r="N30" s="18" t="n">
        <v>47.3</v>
      </c>
      <c r="O30" s="18" t="n">
        <v>-302.5</v>
      </c>
      <c r="P30" s="18" t="n">
        <v>46</v>
      </c>
      <c r="Q30" s="18" t="n">
        <v>46.2</v>
      </c>
      <c r="R30" s="31" t="n">
        <f aca="false">SUM(E30:Q30)</f>
        <v>-1313</v>
      </c>
    </row>
    <row r="31" customFormat="false" ht="15" hidden="false" customHeight="false" outlineLevel="0" collapsed="false">
      <c r="B31" s="23" t="s">
        <v>240</v>
      </c>
      <c r="C31" s="24" t="s">
        <v>241</v>
      </c>
      <c r="D31" s="30" t="str">
        <f aca="false">INDEX('Chart of Accounts'!$D$7:$D$60,MATCH($B31,'Chart of Accounts'!$B$7:$B$60,0))</f>
        <v>Borrowings - non-current</v>
      </c>
      <c r="E31" s="18" t="n">
        <v>-2000</v>
      </c>
      <c r="F31" s="18" t="n">
        <v>0</v>
      </c>
      <c r="G31" s="18" t="n">
        <v>0</v>
      </c>
      <c r="H31" s="18" t="n">
        <v>250</v>
      </c>
      <c r="I31" s="18" t="n">
        <v>0</v>
      </c>
      <c r="J31" s="18" t="n">
        <v>0</v>
      </c>
      <c r="K31" s="18" t="n">
        <v>250</v>
      </c>
      <c r="L31" s="18" t="n">
        <v>0</v>
      </c>
      <c r="M31" s="18" t="n">
        <v>0</v>
      </c>
      <c r="N31" s="18" t="n">
        <v>250</v>
      </c>
      <c r="O31" s="18" t="n">
        <v>0</v>
      </c>
      <c r="P31" s="18" t="n">
        <v>0</v>
      </c>
      <c r="Q31" s="18" t="n">
        <v>250</v>
      </c>
      <c r="R31" s="31" t="n">
        <f aca="false">SUM(E31:Q31)</f>
        <v>-1000</v>
      </c>
    </row>
    <row r="32" customFormat="false" ht="15" hidden="false" customHeight="false" outlineLevel="0" collapsed="false">
      <c r="B32" s="23" t="s">
        <v>243</v>
      </c>
      <c r="C32" s="24" t="s">
        <v>244</v>
      </c>
      <c r="D32" s="30" t="str">
        <f aca="false">INDEX('Chart of Accounts'!$D$7:$D$60,MATCH($B32,'Chart of Accounts'!$B$7:$B$60,0))</f>
        <v>Share capital</v>
      </c>
      <c r="E32" s="18" t="n">
        <v>-500</v>
      </c>
      <c r="F32" s="18" t="n">
        <v>0</v>
      </c>
      <c r="G32" s="18" t="n">
        <v>0</v>
      </c>
      <c r="H32" s="18" t="n">
        <v>0</v>
      </c>
      <c r="I32" s="18" t="n">
        <v>0</v>
      </c>
      <c r="J32" s="18" t="n">
        <v>0</v>
      </c>
      <c r="K32" s="18" t="n">
        <v>0</v>
      </c>
      <c r="L32" s="18" t="n">
        <v>0</v>
      </c>
      <c r="M32" s="18" t="n">
        <v>0</v>
      </c>
      <c r="N32" s="18" t="n">
        <v>0</v>
      </c>
      <c r="O32" s="18" t="n">
        <v>0</v>
      </c>
      <c r="P32" s="18" t="n">
        <v>0</v>
      </c>
      <c r="Q32" s="18" t="n">
        <v>0</v>
      </c>
      <c r="R32" s="31" t="n">
        <f aca="false">SUM(E32:Q32)</f>
        <v>-500</v>
      </c>
    </row>
    <row r="33" customFormat="false" ht="15" hidden="false" customHeight="false" outlineLevel="0" collapsed="false">
      <c r="B33" s="23" t="s">
        <v>247</v>
      </c>
      <c r="C33" s="24" t="s">
        <v>248</v>
      </c>
      <c r="D33" s="30" t="str">
        <f aca="false">INDEX('Chart of Accounts'!$D$7:$D$60,MATCH($B33,'Chart of Accounts'!$B$7:$B$60,0))</f>
        <v>Retained earnings brought forward</v>
      </c>
      <c r="E33" s="18" t="n">
        <v>-5220</v>
      </c>
      <c r="F33" s="18" t="n">
        <v>0</v>
      </c>
      <c r="G33" s="18" t="n">
        <v>0</v>
      </c>
      <c r="H33" s="18" t="n">
        <v>0</v>
      </c>
      <c r="I33" s="18" t="n">
        <v>0</v>
      </c>
      <c r="J33" s="18" t="n">
        <v>0</v>
      </c>
      <c r="K33" s="18" t="n">
        <v>1200</v>
      </c>
      <c r="L33" s="18" t="n">
        <v>0</v>
      </c>
      <c r="M33" s="18" t="n">
        <v>0</v>
      </c>
      <c r="N33" s="18" t="n">
        <v>0</v>
      </c>
      <c r="O33" s="18" t="n">
        <v>0</v>
      </c>
      <c r="P33" s="18" t="n">
        <v>0</v>
      </c>
      <c r="Q33" s="18" t="n">
        <v>0</v>
      </c>
      <c r="R33" s="31" t="n">
        <f aca="false">SUM(E33:Q33)</f>
        <v>-4020</v>
      </c>
    </row>
    <row r="34" customFormat="false" ht="15" hidden="false" customHeight="false" outlineLevel="0" collapsed="false">
      <c r="B34" s="26" t="s">
        <v>249</v>
      </c>
      <c r="C34" s="27" t="s">
        <v>250</v>
      </c>
      <c r="D34" s="32" t="str">
        <f aca="false">INDEX('Chart of Accounts'!$D$7:$D$60,MATCH($B34,'Chart of Accounts'!$B$7:$B$60,0))</f>
        <v>Gross product sales</v>
      </c>
      <c r="E34" s="33" t="n">
        <v>0</v>
      </c>
      <c r="F34" s="33" t="n">
        <v>-2511.8</v>
      </c>
      <c r="G34" s="33" t="n">
        <v>-2370.1</v>
      </c>
      <c r="H34" s="33" t="n">
        <v>-2208.9</v>
      </c>
      <c r="I34" s="33" t="n">
        <v>-1923.9</v>
      </c>
      <c r="J34" s="33" t="n">
        <v>-1766.9</v>
      </c>
      <c r="K34" s="33" t="n">
        <v>-1611.7</v>
      </c>
      <c r="L34" s="33" t="n">
        <v>-1478.7</v>
      </c>
      <c r="M34" s="33" t="n">
        <v>-1633</v>
      </c>
      <c r="N34" s="33" t="n">
        <v>-2069.4</v>
      </c>
      <c r="O34" s="33" t="n">
        <v>-2419.6</v>
      </c>
      <c r="P34" s="33" t="n">
        <v>-2504.8</v>
      </c>
      <c r="Q34" s="33" t="n">
        <v>-2210.4</v>
      </c>
      <c r="R34" s="34" t="n">
        <f aca="false">SUM(E34:Q34)</f>
        <v>-24709.2</v>
      </c>
    </row>
    <row r="35" customFormat="false" ht="15" hidden="false" customHeight="false" outlineLevel="0" collapsed="false">
      <c r="B35" s="26" t="s">
        <v>254</v>
      </c>
      <c r="C35" s="27" t="s">
        <v>255</v>
      </c>
      <c r="D35" s="32" t="str">
        <f aca="false">INDEX('Chart of Accounts'!$D$7:$D$60,MATCH($B35,'Chart of Accounts'!$B$7:$B$60,0))</f>
        <v>Gross product sales</v>
      </c>
      <c r="E35" s="33" t="n">
        <v>0</v>
      </c>
      <c r="F35" s="33" t="n">
        <v>-1255.9</v>
      </c>
      <c r="G35" s="33" t="n">
        <v>-1185.1</v>
      </c>
      <c r="H35" s="33" t="n">
        <v>-1104.4</v>
      </c>
      <c r="I35" s="33" t="n">
        <v>-962</v>
      </c>
      <c r="J35" s="33" t="n">
        <v>-883.5</v>
      </c>
      <c r="K35" s="33" t="n">
        <v>-805.8</v>
      </c>
      <c r="L35" s="33" t="n">
        <v>-739.4</v>
      </c>
      <c r="M35" s="33" t="n">
        <v>-816.5</v>
      </c>
      <c r="N35" s="33" t="n">
        <v>-1034.7</v>
      </c>
      <c r="O35" s="33" t="n">
        <v>-1209.8</v>
      </c>
      <c r="P35" s="33" t="n">
        <v>-1252.4</v>
      </c>
      <c r="Q35" s="33" t="n">
        <v>-1105.2</v>
      </c>
      <c r="R35" s="34" t="n">
        <f aca="false">SUM(E35:Q35)</f>
        <v>-12354.7</v>
      </c>
    </row>
    <row r="36" customFormat="false" ht="15" hidden="false" customHeight="false" outlineLevel="0" collapsed="false">
      <c r="B36" s="26" t="s">
        <v>256</v>
      </c>
      <c r="C36" s="27" t="s">
        <v>257</v>
      </c>
      <c r="D36" s="32" t="str">
        <f aca="false">INDEX('Chart of Accounts'!$D$7:$D$60,MATCH($B36,'Chart of Accounts'!$B$7:$B$60,0))</f>
        <v>Gross product sales</v>
      </c>
      <c r="E36" s="33" t="n">
        <v>0</v>
      </c>
      <c r="F36" s="33" t="n">
        <v>-283.6</v>
      </c>
      <c r="G36" s="33" t="n">
        <v>-290.1</v>
      </c>
      <c r="H36" s="33" t="n">
        <v>-291.7</v>
      </c>
      <c r="I36" s="33" t="n">
        <v>-272.8</v>
      </c>
      <c r="J36" s="33" t="n">
        <v>-268</v>
      </c>
      <c r="K36" s="33" t="n">
        <v>-260.5</v>
      </c>
      <c r="L36" s="33" t="n">
        <v>-253.9</v>
      </c>
      <c r="M36" s="33" t="n">
        <v>-297.1</v>
      </c>
      <c r="N36" s="33" t="n">
        <v>-398</v>
      </c>
      <c r="O36" s="33" t="n">
        <v>-490.7</v>
      </c>
      <c r="P36" s="33" t="n">
        <v>-534.5</v>
      </c>
      <c r="Q36" s="33" t="n">
        <v>-495.4</v>
      </c>
      <c r="R36" s="34" t="n">
        <f aca="false">SUM(E36:Q36)</f>
        <v>-4136.3</v>
      </c>
    </row>
    <row r="37" customFormat="false" ht="15" hidden="false" customHeight="false" outlineLevel="0" collapsed="false">
      <c r="B37" s="26" t="s">
        <v>258</v>
      </c>
      <c r="C37" s="27" t="s">
        <v>86</v>
      </c>
      <c r="D37" s="32" t="str">
        <f aca="false">INDEX('Chart of Accounts'!$D$7:$D$60,MATCH($B37,'Chart of Accounts'!$B$7:$B$60,0))</f>
        <v>Trade discounts</v>
      </c>
      <c r="E37" s="33" t="n">
        <v>0</v>
      </c>
      <c r="F37" s="33" t="n">
        <v>129.6</v>
      </c>
      <c r="G37" s="33" t="n">
        <v>123.1</v>
      </c>
      <c r="H37" s="33" t="n">
        <v>115.4</v>
      </c>
      <c r="I37" s="33" t="n">
        <v>101.1</v>
      </c>
      <c r="J37" s="33" t="n">
        <v>93.4</v>
      </c>
      <c r="K37" s="33" t="n">
        <v>85.7</v>
      </c>
      <c r="L37" s="33" t="n">
        <v>79.1</v>
      </c>
      <c r="M37" s="33" t="n">
        <v>87.9</v>
      </c>
      <c r="N37" s="33" t="n">
        <v>112.1</v>
      </c>
      <c r="O37" s="33" t="n">
        <v>131.8</v>
      </c>
      <c r="P37" s="33" t="n">
        <v>137.3</v>
      </c>
      <c r="Q37" s="33" t="n">
        <v>122</v>
      </c>
      <c r="R37" s="34" t="n">
        <f aca="false">SUM(E37:Q37)</f>
        <v>1318.5</v>
      </c>
    </row>
    <row r="38" customFormat="false" ht="15" hidden="false" customHeight="false" outlineLevel="0" collapsed="false">
      <c r="B38" s="26" t="s">
        <v>259</v>
      </c>
      <c r="C38" s="27" t="s">
        <v>260</v>
      </c>
      <c r="D38" s="32" t="str">
        <f aca="false">INDEX('Chart of Accounts'!$D$7:$D$60,MATCH($B38,'Chart of Accounts'!$B$7:$B$60,0))</f>
        <v>Customer rebates</v>
      </c>
      <c r="E38" s="33" t="n">
        <v>0</v>
      </c>
      <c r="F38" s="33" t="n">
        <v>158</v>
      </c>
      <c r="G38" s="33" t="n">
        <v>150</v>
      </c>
      <c r="H38" s="33" t="n">
        <v>140.6</v>
      </c>
      <c r="I38" s="33" t="n">
        <v>123.2</v>
      </c>
      <c r="J38" s="33" t="n">
        <v>113.8</v>
      </c>
      <c r="K38" s="33" t="n">
        <v>121.8</v>
      </c>
      <c r="L38" s="33" t="n">
        <v>112.5</v>
      </c>
      <c r="M38" s="33" t="n">
        <v>125</v>
      </c>
      <c r="N38" s="33" t="n">
        <v>159.3</v>
      </c>
      <c r="O38" s="33" t="n">
        <v>187.5</v>
      </c>
      <c r="P38" s="33" t="n">
        <v>195.3</v>
      </c>
      <c r="Q38" s="33" t="n">
        <v>173.4</v>
      </c>
      <c r="R38" s="34" t="n">
        <f aca="false">SUM(E38:Q38)</f>
        <v>1760.4</v>
      </c>
    </row>
    <row r="39" customFormat="false" ht="15" hidden="false" customHeight="false" outlineLevel="0" collapsed="false">
      <c r="B39" s="26" t="s">
        <v>261</v>
      </c>
      <c r="C39" s="27" t="s">
        <v>93</v>
      </c>
      <c r="D39" s="32" t="str">
        <f aca="false">INDEX('Chart of Accounts'!$D$7:$D$60,MATCH($B39,'Chart of Accounts'!$B$7:$B$60,0))</f>
        <v>Returns &amp; credit notes</v>
      </c>
      <c r="E39" s="33" t="n">
        <v>0</v>
      </c>
      <c r="F39" s="33" t="n">
        <v>36.5</v>
      </c>
      <c r="G39" s="33" t="n">
        <v>34.6</v>
      </c>
      <c r="H39" s="33" t="n">
        <v>32.4</v>
      </c>
      <c r="I39" s="33" t="n">
        <v>28.4</v>
      </c>
      <c r="J39" s="33" t="n">
        <v>26.3</v>
      </c>
      <c r="K39" s="33" t="n">
        <v>24.1</v>
      </c>
      <c r="L39" s="33" t="n">
        <v>22.2</v>
      </c>
      <c r="M39" s="33" t="n">
        <v>24.7</v>
      </c>
      <c r="N39" s="33" t="n">
        <v>31.5</v>
      </c>
      <c r="O39" s="33" t="n">
        <v>37.1</v>
      </c>
      <c r="P39" s="33" t="n">
        <v>38.6</v>
      </c>
      <c r="Q39" s="33" t="n">
        <v>34.3</v>
      </c>
      <c r="R39" s="34" t="n">
        <f aca="false">SUM(E39:Q39)</f>
        <v>370.7</v>
      </c>
    </row>
    <row r="40" customFormat="false" ht="15" hidden="false" customHeight="false" outlineLevel="0" collapsed="false">
      <c r="B40" s="26" t="s">
        <v>262</v>
      </c>
      <c r="C40" s="27" t="s">
        <v>263</v>
      </c>
      <c r="D40" s="32" t="str">
        <f aca="false">INDEX('Chart of Accounts'!$D$7:$D$60,MATCH($B40,'Chart of Accounts'!$B$7:$B$60,0))</f>
        <v>Product cost</v>
      </c>
      <c r="E40" s="33" t="n">
        <v>0</v>
      </c>
      <c r="F40" s="33" t="n">
        <v>2068.6</v>
      </c>
      <c r="G40" s="33" t="n">
        <v>1963.4</v>
      </c>
      <c r="H40" s="33" t="n">
        <v>1840.7</v>
      </c>
      <c r="I40" s="33" t="n">
        <v>1612.8</v>
      </c>
      <c r="J40" s="33" t="n">
        <v>1490.1</v>
      </c>
      <c r="K40" s="33" t="n">
        <v>1357.7</v>
      </c>
      <c r="L40" s="33" t="n">
        <v>1253.3</v>
      </c>
      <c r="M40" s="33" t="n">
        <v>1392.5</v>
      </c>
      <c r="N40" s="33" t="n">
        <v>1775.5</v>
      </c>
      <c r="O40" s="33" t="n">
        <v>2088.8</v>
      </c>
      <c r="P40" s="33" t="n">
        <v>2175.8</v>
      </c>
      <c r="Q40" s="33" t="n">
        <v>1932.1</v>
      </c>
      <c r="R40" s="34" t="n">
        <f aca="false">SUM(E40:Q40)</f>
        <v>20951.3</v>
      </c>
    </row>
    <row r="41" customFormat="false" ht="15" hidden="false" customHeight="false" outlineLevel="0" collapsed="false">
      <c r="B41" s="26" t="s">
        <v>265</v>
      </c>
      <c r="C41" s="27" t="s">
        <v>266</v>
      </c>
      <c r="D41" s="32" t="str">
        <f aca="false">INDEX('Chart of Accounts'!$D$7:$D$60,MATCH($B41,'Chart of Accounts'!$B$7:$B$60,0))</f>
        <v>Inbound freight &amp; duties</v>
      </c>
      <c r="E41" s="33" t="n">
        <v>0</v>
      </c>
      <c r="F41" s="33" t="n">
        <v>164</v>
      </c>
      <c r="G41" s="33" t="n">
        <v>155.7</v>
      </c>
      <c r="H41" s="33" t="n">
        <v>145.9</v>
      </c>
      <c r="I41" s="33" t="n">
        <v>127.9</v>
      </c>
      <c r="J41" s="33" t="n">
        <v>118.1</v>
      </c>
      <c r="K41" s="33" t="n">
        <v>107.6</v>
      </c>
      <c r="L41" s="33" t="n">
        <v>99.4</v>
      </c>
      <c r="M41" s="33" t="n">
        <v>110.4</v>
      </c>
      <c r="N41" s="33" t="n">
        <v>140.8</v>
      </c>
      <c r="O41" s="33" t="n">
        <v>165.6</v>
      </c>
      <c r="P41" s="33" t="n">
        <v>172.5</v>
      </c>
      <c r="Q41" s="33" t="n">
        <v>153.2</v>
      </c>
      <c r="R41" s="34" t="n">
        <f aca="false">SUM(E41:Q41)</f>
        <v>1661.1</v>
      </c>
    </row>
    <row r="42" customFormat="false" ht="15" hidden="false" customHeight="false" outlineLevel="0" collapsed="false">
      <c r="B42" s="26" t="s">
        <v>267</v>
      </c>
      <c r="C42" s="27" t="s">
        <v>99</v>
      </c>
      <c r="D42" s="32" t="str">
        <f aca="false">INDEX('Chart of Accounts'!$D$7:$D$60,MATCH($B42,'Chart of Accounts'!$B$7:$B$60,0))</f>
        <v>Inventory write-offs</v>
      </c>
      <c r="E42" s="33" t="n">
        <v>0</v>
      </c>
      <c r="F42" s="33" t="n">
        <v>13.6</v>
      </c>
      <c r="G42" s="33" t="n">
        <v>13.6</v>
      </c>
      <c r="H42" s="33" t="n">
        <v>17</v>
      </c>
      <c r="I42" s="33" t="n">
        <v>17</v>
      </c>
      <c r="J42" s="33" t="n">
        <v>17</v>
      </c>
      <c r="K42" s="33" t="n">
        <v>68</v>
      </c>
      <c r="L42" s="33" t="n">
        <v>17</v>
      </c>
      <c r="M42" s="33" t="n">
        <v>17</v>
      </c>
      <c r="N42" s="33" t="n">
        <v>17</v>
      </c>
      <c r="O42" s="33" t="n">
        <v>20.4</v>
      </c>
      <c r="P42" s="33" t="n">
        <v>88.3</v>
      </c>
      <c r="Q42" s="33" t="n">
        <v>34</v>
      </c>
      <c r="R42" s="34" t="n">
        <f aca="false">SUM(E42:Q42)</f>
        <v>339.9</v>
      </c>
    </row>
    <row r="43" customFormat="false" ht="15" hidden="false" customHeight="false" outlineLevel="0" collapsed="false">
      <c r="B43" s="26" t="s">
        <v>269</v>
      </c>
      <c r="C43" s="27" t="s">
        <v>101</v>
      </c>
      <c r="D43" s="32" t="str">
        <f aca="false">INDEX('Chart of Accounts'!$D$7:$D$60,MATCH($B43,'Chart of Accounts'!$B$7:$B$60,0))</f>
        <v>A&amp;P - media &amp; digital</v>
      </c>
      <c r="E43" s="33" t="n">
        <v>0</v>
      </c>
      <c r="F43" s="33" t="n">
        <v>169.9</v>
      </c>
      <c r="G43" s="33" t="n">
        <v>158.6</v>
      </c>
      <c r="H43" s="33" t="n">
        <v>158.6</v>
      </c>
      <c r="I43" s="33" t="n">
        <v>147.2</v>
      </c>
      <c r="J43" s="33" t="n">
        <v>124.6</v>
      </c>
      <c r="K43" s="33" t="n">
        <v>101.9</v>
      </c>
      <c r="L43" s="33" t="n">
        <v>90.6</v>
      </c>
      <c r="M43" s="33" t="n">
        <v>135.9</v>
      </c>
      <c r="N43" s="33" t="n">
        <v>260.5</v>
      </c>
      <c r="O43" s="33" t="n">
        <v>305.8</v>
      </c>
      <c r="P43" s="33" t="n">
        <v>283.1</v>
      </c>
      <c r="Q43" s="33" t="n">
        <v>328.4</v>
      </c>
      <c r="R43" s="34" t="n">
        <f aca="false">SUM(E43:Q43)</f>
        <v>2265.1</v>
      </c>
    </row>
    <row r="44" customFormat="false" ht="15" hidden="false" customHeight="false" outlineLevel="0" collapsed="false">
      <c r="B44" s="26" t="s">
        <v>271</v>
      </c>
      <c r="C44" s="27" t="s">
        <v>103</v>
      </c>
      <c r="D44" s="32" t="str">
        <f aca="false">INDEX('Chart of Accounts'!$D$7:$D$60,MATCH($B44,'Chart of Accounts'!$B$7:$B$60,0))</f>
        <v>A&amp;P - trade &amp; POS</v>
      </c>
      <c r="E44" s="33" t="n">
        <v>0</v>
      </c>
      <c r="F44" s="33" t="n">
        <v>134.2</v>
      </c>
      <c r="G44" s="33" t="n">
        <v>127.4</v>
      </c>
      <c r="H44" s="33" t="n">
        <v>119.4</v>
      </c>
      <c r="I44" s="33" t="n">
        <v>104.6</v>
      </c>
      <c r="J44" s="33" t="n">
        <v>96.7</v>
      </c>
      <c r="K44" s="33" t="n">
        <v>88.1</v>
      </c>
      <c r="L44" s="33" t="n">
        <v>81.3</v>
      </c>
      <c r="M44" s="33" t="n">
        <v>90.3</v>
      </c>
      <c r="N44" s="33" t="n">
        <v>115.2</v>
      </c>
      <c r="O44" s="33" t="n">
        <v>135.5</v>
      </c>
      <c r="P44" s="33" t="n">
        <v>141.1</v>
      </c>
      <c r="Q44" s="33" t="n">
        <v>125.3</v>
      </c>
      <c r="R44" s="34" t="n">
        <f aca="false">SUM(E44:Q44)</f>
        <v>1359.1</v>
      </c>
    </row>
    <row r="45" customFormat="false" ht="15" hidden="false" customHeight="false" outlineLevel="0" collapsed="false">
      <c r="B45" s="26" t="s">
        <v>273</v>
      </c>
      <c r="C45" s="27" t="s">
        <v>274</v>
      </c>
      <c r="D45" s="32" t="str">
        <f aca="false">INDEX('Chart of Accounts'!$D$7:$D$60,MATCH($B45,'Chart of Accounts'!$B$7:$B$60,0))</f>
        <v>Medical &amp; regulatory affairs</v>
      </c>
      <c r="E45" s="33" t="n">
        <v>0</v>
      </c>
      <c r="F45" s="33" t="n">
        <v>30.2</v>
      </c>
      <c r="G45" s="33" t="n">
        <v>30.2</v>
      </c>
      <c r="H45" s="33" t="n">
        <v>30.2</v>
      </c>
      <c r="I45" s="33" t="n">
        <v>30.2</v>
      </c>
      <c r="J45" s="33" t="n">
        <v>30.2</v>
      </c>
      <c r="K45" s="33" t="n">
        <v>30.2</v>
      </c>
      <c r="L45" s="33" t="n">
        <v>30.2</v>
      </c>
      <c r="M45" s="33" t="n">
        <v>30.2</v>
      </c>
      <c r="N45" s="33" t="n">
        <v>30.2</v>
      </c>
      <c r="O45" s="33" t="n">
        <v>30.2</v>
      </c>
      <c r="P45" s="33" t="n">
        <v>30.2</v>
      </c>
      <c r="Q45" s="33" t="n">
        <v>30.2</v>
      </c>
      <c r="R45" s="34" t="n">
        <f aca="false">SUM(E45:Q45)</f>
        <v>362.4</v>
      </c>
    </row>
    <row r="46" customFormat="false" ht="15" hidden="false" customHeight="false" outlineLevel="0" collapsed="false">
      <c r="B46" s="26" t="s">
        <v>275</v>
      </c>
      <c r="C46" s="27" t="s">
        <v>276</v>
      </c>
      <c r="D46" s="32" t="str">
        <f aca="false">INDEX('Chart of Accounts'!$D$7:$D$60,MATCH($B46,'Chart of Accounts'!$B$7:$B$60,0))</f>
        <v>Warehousing (3PL)</v>
      </c>
      <c r="E46" s="33" t="n">
        <v>0</v>
      </c>
      <c r="F46" s="33" t="n">
        <v>69.9</v>
      </c>
      <c r="G46" s="33" t="n">
        <v>68.7</v>
      </c>
      <c r="H46" s="33" t="n">
        <v>67.3</v>
      </c>
      <c r="I46" s="33" t="n">
        <v>64.7</v>
      </c>
      <c r="J46" s="33" t="n">
        <v>63.3</v>
      </c>
      <c r="K46" s="33" t="n">
        <v>61.8</v>
      </c>
      <c r="L46" s="33" t="n">
        <v>60.6</v>
      </c>
      <c r="M46" s="33" t="n">
        <v>62.2</v>
      </c>
      <c r="N46" s="33" t="n">
        <v>66.6</v>
      </c>
      <c r="O46" s="33" t="n">
        <v>70.2</v>
      </c>
      <c r="P46" s="33" t="n">
        <v>71.1</v>
      </c>
      <c r="Q46" s="33" t="n">
        <v>68.4</v>
      </c>
      <c r="R46" s="34" t="n">
        <f aca="false">SUM(E46:Q46)</f>
        <v>794.8</v>
      </c>
    </row>
    <row r="47" customFormat="false" ht="15" hidden="false" customHeight="false" outlineLevel="0" collapsed="false">
      <c r="B47" s="26" t="s">
        <v>278</v>
      </c>
      <c r="C47" s="27" t="s">
        <v>279</v>
      </c>
      <c r="D47" s="32" t="str">
        <f aca="false">INDEX('Chart of Accounts'!$D$7:$D$60,MATCH($B47,'Chart of Accounts'!$B$7:$B$60,0))</f>
        <v>Outbound freight</v>
      </c>
      <c r="E47" s="33" t="n">
        <v>0</v>
      </c>
      <c r="F47" s="33" t="n">
        <v>123</v>
      </c>
      <c r="G47" s="33" t="n">
        <v>116.7</v>
      </c>
      <c r="H47" s="33" t="n">
        <v>109.4</v>
      </c>
      <c r="I47" s="33" t="n">
        <v>95.9</v>
      </c>
      <c r="J47" s="33" t="n">
        <v>88.6</v>
      </c>
      <c r="K47" s="33" t="n">
        <v>80.7</v>
      </c>
      <c r="L47" s="33" t="n">
        <v>74.5</v>
      </c>
      <c r="M47" s="33" t="n">
        <v>82.8</v>
      </c>
      <c r="N47" s="33" t="n">
        <v>105.6</v>
      </c>
      <c r="O47" s="33" t="n">
        <v>124.2</v>
      </c>
      <c r="P47" s="33" t="n">
        <v>129.4</v>
      </c>
      <c r="Q47" s="33" t="n">
        <v>114.9</v>
      </c>
      <c r="R47" s="34" t="n">
        <f aca="false">SUM(E47:Q47)</f>
        <v>1245.7</v>
      </c>
    </row>
    <row r="48" customFormat="false" ht="15" hidden="false" customHeight="false" outlineLevel="0" collapsed="false">
      <c r="B48" s="26" t="s">
        <v>280</v>
      </c>
      <c r="C48" s="27" t="s">
        <v>281</v>
      </c>
      <c r="D48" s="32" t="str">
        <f aca="false">INDEX('Chart of Accounts'!$D$7:$D$60,MATCH($B48,'Chart of Accounts'!$B$7:$B$60,0))</f>
        <v>Personnel - commercial</v>
      </c>
      <c r="E48" s="33" t="n">
        <v>0</v>
      </c>
      <c r="F48" s="33" t="n">
        <v>176</v>
      </c>
      <c r="G48" s="33" t="n">
        <v>176</v>
      </c>
      <c r="H48" s="33" t="n">
        <v>176</v>
      </c>
      <c r="I48" s="33" t="n">
        <v>176</v>
      </c>
      <c r="J48" s="33" t="n">
        <v>176</v>
      </c>
      <c r="K48" s="33" t="n">
        <v>176</v>
      </c>
      <c r="L48" s="33" t="n">
        <v>176</v>
      </c>
      <c r="M48" s="33" t="n">
        <v>176</v>
      </c>
      <c r="N48" s="33" t="n">
        <v>176</v>
      </c>
      <c r="O48" s="33" t="n">
        <v>176</v>
      </c>
      <c r="P48" s="33" t="n">
        <v>176</v>
      </c>
      <c r="Q48" s="33" t="n">
        <v>299.2</v>
      </c>
      <c r="R48" s="34" t="n">
        <f aca="false">SUM(E48:Q48)</f>
        <v>2235.2</v>
      </c>
    </row>
    <row r="49" customFormat="false" ht="15" hidden="false" customHeight="false" outlineLevel="0" collapsed="false">
      <c r="B49" s="26" t="s">
        <v>283</v>
      </c>
      <c r="C49" s="27" t="s">
        <v>284</v>
      </c>
      <c r="D49" s="32" t="str">
        <f aca="false">INDEX('Chart of Accounts'!$D$7:$D$60,MATCH($B49,'Chart of Accounts'!$B$7:$B$60,0))</f>
        <v>Personnel - G&amp;A</v>
      </c>
      <c r="E49" s="33" t="n">
        <v>0</v>
      </c>
      <c r="F49" s="33" t="n">
        <v>92.9</v>
      </c>
      <c r="G49" s="33" t="n">
        <v>92.9</v>
      </c>
      <c r="H49" s="33" t="n">
        <v>92.9</v>
      </c>
      <c r="I49" s="33" t="n">
        <v>92.9</v>
      </c>
      <c r="J49" s="33" t="n">
        <v>92.9</v>
      </c>
      <c r="K49" s="33" t="n">
        <v>92.9</v>
      </c>
      <c r="L49" s="33" t="n">
        <v>92.9</v>
      </c>
      <c r="M49" s="33" t="n">
        <v>92.9</v>
      </c>
      <c r="N49" s="33" t="n">
        <v>92.9</v>
      </c>
      <c r="O49" s="33" t="n">
        <v>92.9</v>
      </c>
      <c r="P49" s="33" t="n">
        <v>92.9</v>
      </c>
      <c r="Q49" s="33" t="n">
        <v>158</v>
      </c>
      <c r="R49" s="34" t="n">
        <f aca="false">SUM(E49:Q49)</f>
        <v>1179.9</v>
      </c>
    </row>
    <row r="50" customFormat="false" ht="15" hidden="false" customHeight="false" outlineLevel="0" collapsed="false">
      <c r="B50" s="26" t="s">
        <v>286</v>
      </c>
      <c r="C50" s="27" t="s">
        <v>287</v>
      </c>
      <c r="D50" s="32" t="str">
        <f aca="false">INDEX('Chart of Accounts'!$D$7:$D$60,MATCH($B50,'Chart of Accounts'!$B$7:$B$60,0))</f>
        <v>IT &amp; software</v>
      </c>
      <c r="E50" s="33" t="n">
        <v>0</v>
      </c>
      <c r="F50" s="33" t="n">
        <v>31.5</v>
      </c>
      <c r="G50" s="33" t="n">
        <v>31.5</v>
      </c>
      <c r="H50" s="33" t="n">
        <v>31.5</v>
      </c>
      <c r="I50" s="33" t="n">
        <v>31.5</v>
      </c>
      <c r="J50" s="33" t="n">
        <v>31.5</v>
      </c>
      <c r="K50" s="33" t="n">
        <v>31.5</v>
      </c>
      <c r="L50" s="33" t="n">
        <v>31.5</v>
      </c>
      <c r="M50" s="33" t="n">
        <v>31.5</v>
      </c>
      <c r="N50" s="33" t="n">
        <v>31.5</v>
      </c>
      <c r="O50" s="33" t="n">
        <v>31.5</v>
      </c>
      <c r="P50" s="33" t="n">
        <v>31.5</v>
      </c>
      <c r="Q50" s="33" t="n">
        <v>31.5</v>
      </c>
      <c r="R50" s="34" t="n">
        <f aca="false">SUM(E50:Q50)</f>
        <v>378</v>
      </c>
    </row>
    <row r="51" customFormat="false" ht="15" hidden="false" customHeight="false" outlineLevel="0" collapsed="false">
      <c r="B51" s="26" t="s">
        <v>289</v>
      </c>
      <c r="C51" s="27" t="s">
        <v>290</v>
      </c>
      <c r="D51" s="32" t="str">
        <f aca="false">INDEX('Chart of Accounts'!$D$7:$D$60,MATCH($B51,'Chart of Accounts'!$B$7:$B$60,0))</f>
        <v>Professional fees</v>
      </c>
      <c r="E51" s="33" t="n">
        <v>0</v>
      </c>
      <c r="F51" s="33" t="n">
        <v>17.1</v>
      </c>
      <c r="G51" s="33" t="n">
        <v>54.7</v>
      </c>
      <c r="H51" s="33" t="n">
        <v>61.6</v>
      </c>
      <c r="I51" s="33" t="n">
        <v>23.9</v>
      </c>
      <c r="J51" s="33" t="n">
        <v>17.1</v>
      </c>
      <c r="K51" s="33" t="n">
        <v>17.1</v>
      </c>
      <c r="L51" s="33" t="n">
        <v>13.7</v>
      </c>
      <c r="M51" s="33" t="n">
        <v>13.7</v>
      </c>
      <c r="N51" s="33" t="n">
        <v>20.5</v>
      </c>
      <c r="O51" s="33" t="n">
        <v>23.9</v>
      </c>
      <c r="P51" s="33" t="n">
        <v>34.2</v>
      </c>
      <c r="Q51" s="33" t="n">
        <v>44.5</v>
      </c>
      <c r="R51" s="34" t="n">
        <f aca="false">SUM(E51:Q51)</f>
        <v>342</v>
      </c>
    </row>
    <row r="52" customFormat="false" ht="15" hidden="false" customHeight="false" outlineLevel="0" collapsed="false">
      <c r="B52" s="26" t="s">
        <v>292</v>
      </c>
      <c r="C52" s="27" t="s">
        <v>293</v>
      </c>
      <c r="D52" s="32" t="str">
        <f aca="false">INDEX('Chart of Accounts'!$D$7:$D$60,MATCH($B52,'Chart of Accounts'!$B$7:$B$60,0))</f>
        <v>Facilities &amp; other overheads</v>
      </c>
      <c r="E52" s="33" t="n">
        <v>0</v>
      </c>
      <c r="F52" s="33" t="n">
        <v>28.1</v>
      </c>
      <c r="G52" s="33" t="n">
        <v>28.1</v>
      </c>
      <c r="H52" s="33" t="n">
        <v>28.1</v>
      </c>
      <c r="I52" s="33" t="n">
        <v>28.1</v>
      </c>
      <c r="J52" s="33" t="n">
        <v>28.1</v>
      </c>
      <c r="K52" s="33" t="n">
        <v>28.1</v>
      </c>
      <c r="L52" s="33" t="n">
        <v>28.1</v>
      </c>
      <c r="M52" s="33" t="n">
        <v>28.1</v>
      </c>
      <c r="N52" s="33" t="n">
        <v>28.1</v>
      </c>
      <c r="O52" s="33" t="n">
        <v>28.1</v>
      </c>
      <c r="P52" s="33" t="n">
        <v>28.1</v>
      </c>
      <c r="Q52" s="33" t="n">
        <v>28.1</v>
      </c>
      <c r="R52" s="34" t="n">
        <f aca="false">SUM(E52:Q52)</f>
        <v>337.2</v>
      </c>
    </row>
    <row r="53" customFormat="false" ht="15" hidden="false" customHeight="false" outlineLevel="0" collapsed="false">
      <c r="B53" s="26" t="s">
        <v>295</v>
      </c>
      <c r="C53" s="27" t="s">
        <v>296</v>
      </c>
      <c r="D53" s="32" t="str">
        <f aca="false">INDEX('Chart of Accounts'!$D$7:$D$60,MATCH($B53,'Chart of Accounts'!$B$7:$B$60,0))</f>
        <v>Depreciation - PP&amp;E</v>
      </c>
      <c r="E53" s="33" t="n">
        <v>0</v>
      </c>
      <c r="F53" s="33" t="n">
        <v>20.5</v>
      </c>
      <c r="G53" s="33" t="n">
        <v>20.5</v>
      </c>
      <c r="H53" s="33" t="n">
        <v>20.5</v>
      </c>
      <c r="I53" s="33" t="n">
        <v>20.5</v>
      </c>
      <c r="J53" s="33" t="n">
        <v>20.5</v>
      </c>
      <c r="K53" s="33" t="n">
        <v>20.5</v>
      </c>
      <c r="L53" s="33" t="n">
        <v>20.5</v>
      </c>
      <c r="M53" s="33" t="n">
        <v>20.5</v>
      </c>
      <c r="N53" s="33" t="n">
        <v>20.5</v>
      </c>
      <c r="O53" s="33" t="n">
        <v>20.5</v>
      </c>
      <c r="P53" s="33" t="n">
        <v>20.5</v>
      </c>
      <c r="Q53" s="33" t="n">
        <v>20.5</v>
      </c>
      <c r="R53" s="34" t="n">
        <f aca="false">SUM(E53:Q53)</f>
        <v>246</v>
      </c>
    </row>
    <row r="54" customFormat="false" ht="15" hidden="false" customHeight="false" outlineLevel="0" collapsed="false">
      <c r="B54" s="26" t="s">
        <v>299</v>
      </c>
      <c r="C54" s="27" t="s">
        <v>300</v>
      </c>
      <c r="D54" s="32" t="str">
        <f aca="false">INDEX('Chart of Accounts'!$D$7:$D$60,MATCH($B54,'Chart of Accounts'!$B$7:$B$60,0))</f>
        <v>Depreciation - right-of-use assets</v>
      </c>
      <c r="E54" s="33" t="n">
        <v>0</v>
      </c>
      <c r="F54" s="33" t="n">
        <v>43.5</v>
      </c>
      <c r="G54" s="33" t="n">
        <v>43.5</v>
      </c>
      <c r="H54" s="33" t="n">
        <v>43.5</v>
      </c>
      <c r="I54" s="33" t="n">
        <v>43.5</v>
      </c>
      <c r="J54" s="33" t="n">
        <v>43.5</v>
      </c>
      <c r="K54" s="33" t="n">
        <v>43.5</v>
      </c>
      <c r="L54" s="33" t="n">
        <v>43.5</v>
      </c>
      <c r="M54" s="33" t="n">
        <v>43.5</v>
      </c>
      <c r="N54" s="33" t="n">
        <v>43.5</v>
      </c>
      <c r="O54" s="33" t="n">
        <v>43.5</v>
      </c>
      <c r="P54" s="33" t="n">
        <v>43.5</v>
      </c>
      <c r="Q54" s="33" t="n">
        <v>43.5</v>
      </c>
      <c r="R54" s="34" t="n">
        <f aca="false">SUM(E54:Q54)</f>
        <v>522</v>
      </c>
    </row>
    <row r="55" customFormat="false" ht="15" hidden="false" customHeight="false" outlineLevel="0" collapsed="false">
      <c r="B55" s="26" t="s">
        <v>301</v>
      </c>
      <c r="C55" s="27" t="s">
        <v>302</v>
      </c>
      <c r="D55" s="32" t="str">
        <f aca="false">INDEX('Chart of Accounts'!$D$7:$D$60,MATCH($B55,'Chart of Accounts'!$B$7:$B$60,0))</f>
        <v>Amortisation - intangibles</v>
      </c>
      <c r="E55" s="33" t="n">
        <v>0</v>
      </c>
      <c r="F55" s="33" t="n">
        <v>25.8</v>
      </c>
      <c r="G55" s="33" t="n">
        <v>25.8</v>
      </c>
      <c r="H55" s="33" t="n">
        <v>25.8</v>
      </c>
      <c r="I55" s="33" t="n">
        <v>25.8</v>
      </c>
      <c r="J55" s="33" t="n">
        <v>25.8</v>
      </c>
      <c r="K55" s="33" t="n">
        <v>25.8</v>
      </c>
      <c r="L55" s="33" t="n">
        <v>25.8</v>
      </c>
      <c r="M55" s="33" t="n">
        <v>25.8</v>
      </c>
      <c r="N55" s="33" t="n">
        <v>25.8</v>
      </c>
      <c r="O55" s="33" t="n">
        <v>25.8</v>
      </c>
      <c r="P55" s="33" t="n">
        <v>25.8</v>
      </c>
      <c r="Q55" s="33" t="n">
        <v>25.8</v>
      </c>
      <c r="R55" s="34" t="n">
        <f aca="false">SUM(E55:Q55)</f>
        <v>309.6</v>
      </c>
    </row>
    <row r="56" customFormat="false" ht="15" hidden="false" customHeight="false" outlineLevel="0" collapsed="false">
      <c r="B56" s="26" t="s">
        <v>304</v>
      </c>
      <c r="C56" s="27" t="s">
        <v>305</v>
      </c>
      <c r="D56" s="32" t="str">
        <f aca="false">INDEX('Chart of Accounts'!$D$7:$D$60,MATCH($B56,'Chart of Accounts'!$B$7:$B$60,0))</f>
        <v>Interest expense - borrowings</v>
      </c>
      <c r="E56" s="33" t="n">
        <v>0</v>
      </c>
      <c r="F56" s="33" t="n">
        <v>13</v>
      </c>
      <c r="G56" s="33" t="n">
        <v>13</v>
      </c>
      <c r="H56" s="33" t="n">
        <v>13</v>
      </c>
      <c r="I56" s="33" t="n">
        <v>11.9</v>
      </c>
      <c r="J56" s="33" t="n">
        <v>11.9</v>
      </c>
      <c r="K56" s="33" t="n">
        <v>11.9</v>
      </c>
      <c r="L56" s="33" t="n">
        <v>10.8</v>
      </c>
      <c r="M56" s="33" t="n">
        <v>10.8</v>
      </c>
      <c r="N56" s="33" t="n">
        <v>10.8</v>
      </c>
      <c r="O56" s="33" t="n">
        <v>9.8</v>
      </c>
      <c r="P56" s="33" t="n">
        <v>9.8</v>
      </c>
      <c r="Q56" s="33" t="n">
        <v>9.8</v>
      </c>
      <c r="R56" s="34" t="n">
        <f aca="false">SUM(E56:Q56)</f>
        <v>136.5</v>
      </c>
    </row>
    <row r="57" customFormat="false" ht="15" hidden="false" customHeight="false" outlineLevel="0" collapsed="false">
      <c r="B57" s="26" t="s">
        <v>308</v>
      </c>
      <c r="C57" s="27" t="s">
        <v>309</v>
      </c>
      <c r="D57" s="32" t="str">
        <f aca="false">INDEX('Chart of Accounts'!$D$7:$D$60,MATCH($B57,'Chart of Accounts'!$B$7:$B$60,0))</f>
        <v>Interest expense - leases</v>
      </c>
      <c r="E57" s="33" t="n">
        <v>0</v>
      </c>
      <c r="F57" s="33" t="n">
        <v>10.6</v>
      </c>
      <c r="G57" s="33" t="n">
        <v>10.3</v>
      </c>
      <c r="H57" s="33" t="n">
        <v>10.1</v>
      </c>
      <c r="I57" s="33" t="n">
        <v>9.9</v>
      </c>
      <c r="J57" s="33" t="n">
        <v>9.6</v>
      </c>
      <c r="K57" s="33" t="n">
        <v>9.4</v>
      </c>
      <c r="L57" s="33" t="n">
        <v>9.2</v>
      </c>
      <c r="M57" s="33" t="n">
        <v>8.9</v>
      </c>
      <c r="N57" s="33" t="n">
        <v>8.7</v>
      </c>
      <c r="O57" s="33" t="n">
        <v>8.5</v>
      </c>
      <c r="P57" s="33" t="n">
        <v>10</v>
      </c>
      <c r="Q57" s="33" t="n">
        <v>9.8</v>
      </c>
      <c r="R57" s="34" t="n">
        <f aca="false">SUM(E57:Q57)</f>
        <v>115</v>
      </c>
    </row>
    <row r="58" customFormat="false" ht="15" hidden="false" customHeight="false" outlineLevel="0" collapsed="false">
      <c r="B58" s="26" t="s">
        <v>311</v>
      </c>
      <c r="C58" s="27" t="s">
        <v>312</v>
      </c>
      <c r="D58" s="32" t="str">
        <f aca="false">INDEX('Chart of Accounts'!$D$7:$D$60,MATCH($B58,'Chart of Accounts'!$B$7:$B$60,0))</f>
        <v>Foreign exchange result, net</v>
      </c>
      <c r="E58" s="33" t="n">
        <v>0</v>
      </c>
      <c r="F58" s="33" t="n">
        <v>5.9</v>
      </c>
      <c r="G58" s="33" t="n">
        <v>7.1</v>
      </c>
      <c r="H58" s="33" t="n">
        <v>8.3</v>
      </c>
      <c r="I58" s="33" t="n">
        <v>9.4</v>
      </c>
      <c r="J58" s="33" t="n">
        <v>10.6</v>
      </c>
      <c r="K58" s="33" t="n">
        <v>11.8</v>
      </c>
      <c r="L58" s="33" t="n">
        <v>9.4</v>
      </c>
      <c r="M58" s="33" t="n">
        <v>8.3</v>
      </c>
      <c r="N58" s="33" t="n">
        <v>10.6</v>
      </c>
      <c r="O58" s="33" t="n">
        <v>11.8</v>
      </c>
      <c r="P58" s="33" t="n">
        <v>13</v>
      </c>
      <c r="Q58" s="33" t="n">
        <v>11.8</v>
      </c>
      <c r="R58" s="34" t="n">
        <f aca="false">SUM(E58:Q58)</f>
        <v>118</v>
      </c>
    </row>
    <row r="59" customFormat="false" ht="15" hidden="false" customHeight="false" outlineLevel="0" collapsed="false">
      <c r="B59" s="26" t="s">
        <v>313</v>
      </c>
      <c r="C59" s="27" t="s">
        <v>314</v>
      </c>
      <c r="D59" s="32" t="str">
        <f aca="false">INDEX('Chart of Accounts'!$D$7:$D$60,MATCH($B59,'Chart of Accounts'!$B$7:$B$60,0))</f>
        <v>Current income tax</v>
      </c>
      <c r="E59" s="33" t="n">
        <v>0</v>
      </c>
      <c r="F59" s="33" t="n">
        <v>49.4</v>
      </c>
      <c r="G59" s="33" t="n">
        <v>40.4</v>
      </c>
      <c r="H59" s="33" t="n">
        <v>32</v>
      </c>
      <c r="I59" s="33" t="n">
        <v>23.5</v>
      </c>
      <c r="J59" s="33" t="n">
        <v>19.1</v>
      </c>
      <c r="K59" s="33" t="n">
        <v>8.3</v>
      </c>
      <c r="L59" s="33" t="n">
        <v>9.1</v>
      </c>
      <c r="M59" s="33" t="n">
        <v>12.9</v>
      </c>
      <c r="N59" s="33" t="n">
        <v>22.1</v>
      </c>
      <c r="O59" s="33" t="n">
        <v>35.4</v>
      </c>
      <c r="P59" s="33" t="n">
        <v>34.7</v>
      </c>
      <c r="Q59" s="33" t="n">
        <v>1.3</v>
      </c>
      <c r="R59" s="34" t="n">
        <f aca="false">SUM(E59:Q59)</f>
        <v>288.2</v>
      </c>
    </row>
    <row r="60" customFormat="false" ht="15" hidden="false" customHeight="false" outlineLevel="0" collapsed="false">
      <c r="B60" s="26" t="s">
        <v>317</v>
      </c>
      <c r="C60" s="27" t="s">
        <v>318</v>
      </c>
      <c r="D60" s="32" t="str">
        <f aca="false">INDEX('Chart of Accounts'!$D$7:$D$60,MATCH($B60,'Chart of Accounts'!$B$7:$B$60,0))</f>
        <v>Deferred income tax</v>
      </c>
      <c r="E60" s="33" t="n">
        <v>0</v>
      </c>
      <c r="F60" s="33" t="n">
        <v>-2.1</v>
      </c>
      <c r="G60" s="33" t="n">
        <v>-2.1</v>
      </c>
      <c r="H60" s="33" t="n">
        <v>-2.1</v>
      </c>
      <c r="I60" s="33" t="n">
        <v>-2.1</v>
      </c>
      <c r="J60" s="33" t="n">
        <v>-2.1</v>
      </c>
      <c r="K60" s="33" t="n">
        <v>-2.1</v>
      </c>
      <c r="L60" s="33" t="n">
        <v>-2.1</v>
      </c>
      <c r="M60" s="33" t="n">
        <v>-2.1</v>
      </c>
      <c r="N60" s="33" t="n">
        <v>-2.1</v>
      </c>
      <c r="O60" s="33" t="n">
        <v>-2.1</v>
      </c>
      <c r="P60" s="33" t="n">
        <v>-2.1</v>
      </c>
      <c r="Q60" s="33" t="n">
        <v>-2.1</v>
      </c>
      <c r="R60" s="34" t="n">
        <f aca="false">SUM(E60:Q60)</f>
        <v>-25.2</v>
      </c>
    </row>
    <row r="62" customFormat="false" ht="15" hidden="false" customHeight="false" outlineLevel="0" collapsed="false">
      <c r="C62" s="6" t="s">
        <v>326</v>
      </c>
      <c r="E62" s="35" t="n">
        <f aca="false">SUM(E7:E60)</f>
        <v>0</v>
      </c>
      <c r="F62" s="35" t="n">
        <f aca="false">SUM(F7:F60)</f>
        <v>-3.81916720471054E-013</v>
      </c>
      <c r="G62" s="35" t="n">
        <f aca="false">SUM(G7:G60)</f>
        <v>2.68229882749438E-013</v>
      </c>
      <c r="H62" s="35" t="n">
        <f aca="false">SUM(H7:H60)</f>
        <v>-9.2370555648813E-014</v>
      </c>
      <c r="I62" s="35" t="n">
        <f aca="false">SUM(I7:I60)</f>
        <v>-8.34887714518118E-014</v>
      </c>
      <c r="J62" s="35" t="n">
        <f aca="false">SUM(J7:J60)</f>
        <v>-9.41469124882133E-014</v>
      </c>
      <c r="K62" s="35" t="n">
        <f aca="false">SUM(K7:K60)</f>
        <v>5.32907051820075E-014</v>
      </c>
      <c r="L62" s="35" t="n">
        <f aca="false">SUM(L7:L60)</f>
        <v>0</v>
      </c>
      <c r="M62" s="35" t="n">
        <f aca="false">SUM(M7:M60)</f>
        <v>-1.59872115546023E-014</v>
      </c>
      <c r="N62" s="35" t="n">
        <f aca="false">SUM(N7:N60)</f>
        <v>-1.33226762955019E-013</v>
      </c>
      <c r="O62" s="35" t="n">
        <f aca="false">SUM(O7:O60)</f>
        <v>3.16191517413245E-013</v>
      </c>
      <c r="P62" s="35" t="n">
        <f aca="false">SUM(P7:P60)</f>
        <v>-8.88178419700125E-015</v>
      </c>
      <c r="Q62" s="35" t="n">
        <f aca="false">SUM(Q7:Q60)</f>
        <v>-1.91846538655227E-013</v>
      </c>
      <c r="R62" s="35" t="n">
        <f aca="false">SUM(R7:R60)</f>
        <v>-1.49213974509621E-012</v>
      </c>
    </row>
    <row r="64" customFormat="false" ht="15" hidden="false" customHeight="false" outlineLevel="0" collapsed="false">
      <c r="C64" s="13" t="s">
        <v>327</v>
      </c>
    </row>
    <row r="65" customFormat="false" ht="15" hidden="false" customHeight="false" outlineLevel="0" collapsed="false">
      <c r="C65" s="13" t="s">
        <v>328</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A7A7A"/>
    <pageSetUpPr fitToPage="true"/>
  </sheetPr>
  <dimension ref="A1:R6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4" ySplit="6" topLeftCell="E7" activePane="bottomRight" state="frozen"/>
      <selection pane="topLeft" activeCell="A1" activeCellId="0" sqref="A1"/>
      <selection pane="topRight" activeCell="E1" activeCellId="0" sqref="E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9"/>
    <col collapsed="false" customWidth="true" hidden="false" outlineLevel="0" max="3" min="3" style="0" width="50"/>
    <col collapsed="false" customWidth="true" hidden="false" outlineLevel="0" max="4" min="4" style="0" width="34"/>
    <col collapsed="false" customWidth="true" hidden="false" outlineLevel="0" max="18" min="5" style="0" width="11"/>
  </cols>
  <sheetData>
    <row r="1" customFormat="false" ht="15" hidden="false" customHeight="false" outlineLevel="0" collapsed="false">
      <c r="A1" s="11" t="s">
        <v>0</v>
      </c>
    </row>
    <row r="2" customFormat="false" ht="19.7" hidden="false" customHeight="false" outlineLevel="0" collapsed="false">
      <c r="A2" s="12" t="s">
        <v>329</v>
      </c>
    </row>
    <row r="3" customFormat="false" ht="15" hidden="false" customHeight="false" outlineLevel="0" collapsed="false">
      <c r="A3" s="13" t="s">
        <v>322</v>
      </c>
    </row>
    <row r="5" customFormat="false" ht="15" hidden="false" customHeight="false" outlineLevel="0" collapsed="false">
      <c r="B5" s="13" t="s">
        <v>323</v>
      </c>
    </row>
    <row r="6" customFormat="false" ht="27.75" hidden="false" customHeight="true" outlineLevel="0" collapsed="false">
      <c r="B6" s="15" t="s">
        <v>170</v>
      </c>
      <c r="C6" s="15" t="s">
        <v>171</v>
      </c>
      <c r="D6" s="15" t="s">
        <v>172</v>
      </c>
      <c r="E6" s="29" t="s">
        <v>324</v>
      </c>
      <c r="F6" s="15" t="s">
        <v>154</v>
      </c>
      <c r="G6" s="15" t="s">
        <v>155</v>
      </c>
      <c r="H6" s="15" t="s">
        <v>156</v>
      </c>
      <c r="I6" s="15" t="s">
        <v>157</v>
      </c>
      <c r="J6" s="15" t="s">
        <v>158</v>
      </c>
      <c r="K6" s="15" t="s">
        <v>159</v>
      </c>
      <c r="L6" s="15" t="s">
        <v>160</v>
      </c>
      <c r="M6" s="15" t="s">
        <v>161</v>
      </c>
      <c r="N6" s="15" t="s">
        <v>162</v>
      </c>
      <c r="O6" s="15" t="s">
        <v>163</v>
      </c>
      <c r="P6" s="15" t="s">
        <v>164</v>
      </c>
      <c r="Q6" s="15" t="s">
        <v>165</v>
      </c>
      <c r="R6" s="29" t="s">
        <v>325</v>
      </c>
    </row>
    <row r="7" customFormat="false" ht="15" hidden="false" customHeight="false" outlineLevel="0" collapsed="false">
      <c r="B7" s="23" t="s">
        <v>175</v>
      </c>
      <c r="C7" s="24" t="s">
        <v>176</v>
      </c>
      <c r="D7" s="30" t="str">
        <f aca="false">INDEX('Chart of Accounts'!$D$7:$D$60,MATCH($B7,'Chart of Accounts'!$B$7:$B$60,0))</f>
        <v>Intangible assets</v>
      </c>
      <c r="E7" s="18" t="n">
        <v>2400</v>
      </c>
      <c r="F7" s="18" t="n">
        <v>5</v>
      </c>
      <c r="G7" s="18" t="n">
        <v>5</v>
      </c>
      <c r="H7" s="18" t="n">
        <v>5</v>
      </c>
      <c r="I7" s="18" t="n">
        <v>5</v>
      </c>
      <c r="J7" s="18" t="n">
        <v>5</v>
      </c>
      <c r="K7" s="18" t="n">
        <v>5</v>
      </c>
      <c r="L7" s="18" t="n">
        <v>5</v>
      </c>
      <c r="M7" s="18" t="n">
        <v>5</v>
      </c>
      <c r="N7" s="18" t="n">
        <v>5</v>
      </c>
      <c r="O7" s="18" t="n">
        <v>5</v>
      </c>
      <c r="P7" s="18" t="n">
        <v>5</v>
      </c>
      <c r="Q7" s="18" t="n">
        <v>5</v>
      </c>
      <c r="R7" s="31" t="n">
        <f aca="false">SUM(E7:Q7)</f>
        <v>2460</v>
      </c>
    </row>
    <row r="8" customFormat="false" ht="15" hidden="false" customHeight="false" outlineLevel="0" collapsed="false">
      <c r="B8" s="23" t="s">
        <v>180</v>
      </c>
      <c r="C8" s="24" t="s">
        <v>181</v>
      </c>
      <c r="D8" s="30" t="str">
        <f aca="false">INDEX('Chart of Accounts'!$D$7:$D$60,MATCH($B8,'Chart of Accounts'!$B$7:$B$60,0))</f>
        <v>Intangible assets</v>
      </c>
      <c r="E8" s="18" t="n">
        <v>-900</v>
      </c>
      <c r="F8" s="18" t="n">
        <v>-25.8</v>
      </c>
      <c r="G8" s="18" t="n">
        <v>-25.8</v>
      </c>
      <c r="H8" s="18" t="n">
        <v>-25.8</v>
      </c>
      <c r="I8" s="18" t="n">
        <v>-25.8</v>
      </c>
      <c r="J8" s="18" t="n">
        <v>-25.8</v>
      </c>
      <c r="K8" s="18" t="n">
        <v>-25.8</v>
      </c>
      <c r="L8" s="18" t="n">
        <v>-25.8</v>
      </c>
      <c r="M8" s="18" t="n">
        <v>-25.8</v>
      </c>
      <c r="N8" s="18" t="n">
        <v>-25.8</v>
      </c>
      <c r="O8" s="18" t="n">
        <v>-25.8</v>
      </c>
      <c r="P8" s="18" t="n">
        <v>-25.8</v>
      </c>
      <c r="Q8" s="18" t="n">
        <v>-25.8</v>
      </c>
      <c r="R8" s="31" t="n">
        <f aca="false">SUM(E8:Q8)</f>
        <v>-1209.6</v>
      </c>
    </row>
    <row r="9" customFormat="false" ht="15" hidden="false" customHeight="false" outlineLevel="0" collapsed="false">
      <c r="B9" s="23" t="s">
        <v>182</v>
      </c>
      <c r="C9" s="24" t="s">
        <v>183</v>
      </c>
      <c r="D9" s="30" t="str">
        <f aca="false">INDEX('Chart of Accounts'!$D$7:$D$60,MATCH($B9,'Chart of Accounts'!$B$7:$B$60,0))</f>
        <v>Property, plant &amp; equipment</v>
      </c>
      <c r="E9" s="18" t="n">
        <v>1850</v>
      </c>
      <c r="F9" s="18" t="n">
        <v>30</v>
      </c>
      <c r="G9" s="18" t="n">
        <v>30</v>
      </c>
      <c r="H9" s="18" t="n">
        <v>30</v>
      </c>
      <c r="I9" s="18" t="n">
        <v>30</v>
      </c>
      <c r="J9" s="18" t="n">
        <v>30</v>
      </c>
      <c r="K9" s="18" t="n">
        <v>30</v>
      </c>
      <c r="L9" s="18" t="n">
        <v>30</v>
      </c>
      <c r="M9" s="18" t="n">
        <v>30</v>
      </c>
      <c r="N9" s="18" t="n">
        <v>30</v>
      </c>
      <c r="O9" s="18" t="n">
        <v>30</v>
      </c>
      <c r="P9" s="18" t="n">
        <v>30</v>
      </c>
      <c r="Q9" s="18" t="n">
        <v>30</v>
      </c>
      <c r="R9" s="31" t="n">
        <f aca="false">SUM(E9:Q9)</f>
        <v>2210</v>
      </c>
    </row>
    <row r="10" customFormat="false" ht="15" hidden="false" customHeight="false" outlineLevel="0" collapsed="false">
      <c r="B10" s="23" t="s">
        <v>185</v>
      </c>
      <c r="C10" s="24" t="s">
        <v>186</v>
      </c>
      <c r="D10" s="30" t="str">
        <f aca="false">INDEX('Chart of Accounts'!$D$7:$D$60,MATCH($B10,'Chart of Accounts'!$B$7:$B$60,0))</f>
        <v>Property, plant &amp; equipment</v>
      </c>
      <c r="E10" s="18" t="n">
        <v>-760</v>
      </c>
      <c r="F10" s="18" t="n">
        <v>-20.5</v>
      </c>
      <c r="G10" s="18" t="n">
        <v>-20.5</v>
      </c>
      <c r="H10" s="18" t="n">
        <v>-20.5</v>
      </c>
      <c r="I10" s="18" t="n">
        <v>-20.5</v>
      </c>
      <c r="J10" s="18" t="n">
        <v>-20.5</v>
      </c>
      <c r="K10" s="18" t="n">
        <v>-20.5</v>
      </c>
      <c r="L10" s="18" t="n">
        <v>-20.5</v>
      </c>
      <c r="M10" s="18" t="n">
        <v>-20.5</v>
      </c>
      <c r="N10" s="18" t="n">
        <v>-20.5</v>
      </c>
      <c r="O10" s="18" t="n">
        <v>-20.5</v>
      </c>
      <c r="P10" s="18" t="n">
        <v>-20.5</v>
      </c>
      <c r="Q10" s="18" t="n">
        <v>-20.5</v>
      </c>
      <c r="R10" s="31" t="n">
        <f aca="false">SUM(E10:Q10)</f>
        <v>-1006</v>
      </c>
    </row>
    <row r="11" customFormat="false" ht="15" hidden="false" customHeight="false" outlineLevel="0" collapsed="false">
      <c r="B11" s="23" t="s">
        <v>187</v>
      </c>
      <c r="C11" s="24" t="s">
        <v>188</v>
      </c>
      <c r="D11" s="30" t="str">
        <f aca="false">INDEX('Chart of Accounts'!$D$7:$D$60,MATCH($B11,'Chart of Accounts'!$B$7:$B$60,0))</f>
        <v>Right-of-use assets</v>
      </c>
      <c r="E11" s="18" t="n">
        <v>3200</v>
      </c>
      <c r="F11" s="18" t="n">
        <v>0</v>
      </c>
      <c r="G11" s="18" t="n">
        <v>0</v>
      </c>
      <c r="H11" s="18" t="n">
        <v>0</v>
      </c>
      <c r="I11" s="18" t="n">
        <v>0</v>
      </c>
      <c r="J11" s="18" t="n">
        <v>0</v>
      </c>
      <c r="K11" s="18" t="n">
        <v>0</v>
      </c>
      <c r="L11" s="18" t="n">
        <v>0</v>
      </c>
      <c r="M11" s="18" t="n">
        <v>0</v>
      </c>
      <c r="N11" s="18" t="n">
        <v>0</v>
      </c>
      <c r="O11" s="18" t="n">
        <v>0</v>
      </c>
      <c r="P11" s="18" t="n">
        <v>0</v>
      </c>
      <c r="Q11" s="18" t="n">
        <v>0</v>
      </c>
      <c r="R11" s="31" t="n">
        <f aca="false">SUM(E11:Q11)</f>
        <v>3200</v>
      </c>
    </row>
    <row r="12" customFormat="false" ht="15" hidden="false" customHeight="false" outlineLevel="0" collapsed="false">
      <c r="B12" s="23" t="s">
        <v>190</v>
      </c>
      <c r="C12" s="24" t="s">
        <v>191</v>
      </c>
      <c r="D12" s="30" t="str">
        <f aca="false">INDEX('Chart of Accounts'!$D$7:$D$60,MATCH($B12,'Chart of Accounts'!$B$7:$B$60,0))</f>
        <v>Right-of-use assets</v>
      </c>
      <c r="E12" s="18" t="n">
        <v>-1180</v>
      </c>
      <c r="F12" s="18" t="n">
        <v>-43.5</v>
      </c>
      <c r="G12" s="18" t="n">
        <v>-43.5</v>
      </c>
      <c r="H12" s="18" t="n">
        <v>-43.5</v>
      </c>
      <c r="I12" s="18" t="n">
        <v>-43.5</v>
      </c>
      <c r="J12" s="18" t="n">
        <v>-43.5</v>
      </c>
      <c r="K12" s="18" t="n">
        <v>-43.5</v>
      </c>
      <c r="L12" s="18" t="n">
        <v>-43.5</v>
      </c>
      <c r="M12" s="18" t="n">
        <v>-43.5</v>
      </c>
      <c r="N12" s="18" t="n">
        <v>-43.5</v>
      </c>
      <c r="O12" s="18" t="n">
        <v>-43.5</v>
      </c>
      <c r="P12" s="18" t="n">
        <v>-43.5</v>
      </c>
      <c r="Q12" s="18" t="n">
        <v>-43.5</v>
      </c>
      <c r="R12" s="31" t="n">
        <f aca="false">SUM(E12:Q12)</f>
        <v>-1702</v>
      </c>
    </row>
    <row r="13" customFormat="false" ht="15" hidden="false" customHeight="false" outlineLevel="0" collapsed="false">
      <c r="B13" s="23" t="s">
        <v>192</v>
      </c>
      <c r="C13" s="24" t="s">
        <v>193</v>
      </c>
      <c r="D13" s="30" t="str">
        <f aca="false">INDEX('Chart of Accounts'!$D$7:$D$60,MATCH($B13,'Chart of Accounts'!$B$7:$B$60,0))</f>
        <v>Deferred tax asset</v>
      </c>
      <c r="E13" s="18" t="n">
        <v>180</v>
      </c>
      <c r="F13" s="18" t="n">
        <v>2.1</v>
      </c>
      <c r="G13" s="18" t="n">
        <v>2.1</v>
      </c>
      <c r="H13" s="18" t="n">
        <v>2.1</v>
      </c>
      <c r="I13" s="18" t="n">
        <v>2.1</v>
      </c>
      <c r="J13" s="18" t="n">
        <v>2.1</v>
      </c>
      <c r="K13" s="18" t="n">
        <v>2.1</v>
      </c>
      <c r="L13" s="18" t="n">
        <v>2.1</v>
      </c>
      <c r="M13" s="18" t="n">
        <v>2.1</v>
      </c>
      <c r="N13" s="18" t="n">
        <v>2.1</v>
      </c>
      <c r="O13" s="18" t="n">
        <v>2.1</v>
      </c>
      <c r="P13" s="18" t="n">
        <v>2.1</v>
      </c>
      <c r="Q13" s="18" t="n">
        <v>2.1</v>
      </c>
      <c r="R13" s="31" t="n">
        <f aca="false">SUM(E13:Q13)</f>
        <v>205.2</v>
      </c>
    </row>
    <row r="14" customFormat="false" ht="15" hidden="false" customHeight="false" outlineLevel="0" collapsed="false">
      <c r="B14" s="23" t="s">
        <v>194</v>
      </c>
      <c r="C14" s="24" t="s">
        <v>195</v>
      </c>
      <c r="D14" s="30" t="str">
        <f aca="false">INDEX('Chart of Accounts'!$D$7:$D$60,MATCH($B14,'Chart of Accounts'!$B$7:$B$60,0))</f>
        <v>Inventories</v>
      </c>
      <c r="E14" s="18" t="n">
        <v>5900</v>
      </c>
      <c r="F14" s="18" t="n">
        <v>-914.7</v>
      </c>
      <c r="G14" s="18" t="n">
        <v>-56.8</v>
      </c>
      <c r="H14" s="18" t="n">
        <v>78.9</v>
      </c>
      <c r="I14" s="18" t="n">
        <v>-288.3</v>
      </c>
      <c r="J14" s="18" t="n">
        <v>-333.8</v>
      </c>
      <c r="K14" s="18" t="n">
        <v>-364.2</v>
      </c>
      <c r="L14" s="18" t="n">
        <v>-288.3</v>
      </c>
      <c r="M14" s="18" t="n">
        <v>-60.7</v>
      </c>
      <c r="N14" s="18" t="n">
        <v>318.7</v>
      </c>
      <c r="O14" s="18" t="n">
        <v>607</v>
      </c>
      <c r="P14" s="18" t="n">
        <v>561.4</v>
      </c>
      <c r="Q14" s="18" t="n">
        <v>30.3</v>
      </c>
      <c r="R14" s="31" t="n">
        <f aca="false">SUM(E14:Q14)</f>
        <v>5189.5</v>
      </c>
    </row>
    <row r="15" customFormat="false" ht="15" hidden="false" customHeight="false" outlineLevel="0" collapsed="false">
      <c r="B15" s="23" t="s">
        <v>198</v>
      </c>
      <c r="C15" s="24" t="s">
        <v>199</v>
      </c>
      <c r="D15" s="30" t="str">
        <f aca="false">INDEX('Chart of Accounts'!$D$7:$D$60,MATCH($B15,'Chart of Accounts'!$B$7:$B$60,0))</f>
        <v>Inventories</v>
      </c>
      <c r="E15" s="18" t="n">
        <v>-260</v>
      </c>
      <c r="F15" s="18" t="n">
        <v>0</v>
      </c>
      <c r="G15" s="18" t="n">
        <v>0</v>
      </c>
      <c r="H15" s="18" t="n">
        <v>0</v>
      </c>
      <c r="I15" s="18" t="n">
        <v>0</v>
      </c>
      <c r="J15" s="18" t="n">
        <v>0</v>
      </c>
      <c r="K15" s="18" t="n">
        <v>-30</v>
      </c>
      <c r="L15" s="18" t="n">
        <v>0</v>
      </c>
      <c r="M15" s="18" t="n">
        <v>0</v>
      </c>
      <c r="N15" s="18" t="n">
        <v>0</v>
      </c>
      <c r="O15" s="18" t="n">
        <v>0</v>
      </c>
      <c r="P15" s="18" t="n">
        <v>-45</v>
      </c>
      <c r="Q15" s="18" t="n">
        <v>0</v>
      </c>
      <c r="R15" s="31" t="n">
        <f aca="false">SUM(E15:Q15)</f>
        <v>-335</v>
      </c>
    </row>
    <row r="16" customFormat="false" ht="15" hidden="false" customHeight="false" outlineLevel="0" collapsed="false">
      <c r="B16" s="23" t="s">
        <v>200</v>
      </c>
      <c r="C16" s="24" t="s">
        <v>201</v>
      </c>
      <c r="D16" s="30" t="str">
        <f aca="false">INDEX('Chart of Accounts'!$D$7:$D$60,MATCH($B16,'Chart of Accounts'!$B$7:$B$60,0))</f>
        <v>Trade receivables</v>
      </c>
      <c r="E16" s="18" t="n">
        <v>6800</v>
      </c>
      <c r="F16" s="18" t="n">
        <v>159.8</v>
      </c>
      <c r="G16" s="18" t="n">
        <v>-79.2</v>
      </c>
      <c r="H16" s="18" t="n">
        <v>110.2</v>
      </c>
      <c r="I16" s="18" t="n">
        <v>-402.5</v>
      </c>
      <c r="J16" s="18" t="n">
        <v>-466.1</v>
      </c>
      <c r="K16" s="18" t="n">
        <v>-508.4</v>
      </c>
      <c r="L16" s="18" t="n">
        <v>-402.5</v>
      </c>
      <c r="M16" s="18" t="n">
        <v>-84.7</v>
      </c>
      <c r="N16" s="18" t="n">
        <v>444.9</v>
      </c>
      <c r="O16" s="18" t="n">
        <v>847.4</v>
      </c>
      <c r="P16" s="18" t="n">
        <v>783.8</v>
      </c>
      <c r="Q16" s="18" t="n">
        <v>42.4</v>
      </c>
      <c r="R16" s="31" t="n">
        <f aca="false">SUM(E16:Q16)</f>
        <v>7245.1</v>
      </c>
    </row>
    <row r="17" customFormat="false" ht="15" hidden="false" customHeight="false" outlineLevel="0" collapsed="false">
      <c r="B17" s="23" t="s">
        <v>203</v>
      </c>
      <c r="C17" s="24" t="s">
        <v>204</v>
      </c>
      <c r="D17" s="30" t="str">
        <f aca="false">INDEX('Chart of Accounts'!$D$7:$D$60,MATCH($B17,'Chart of Accounts'!$B$7:$B$60,0))</f>
        <v>Trade receivables</v>
      </c>
      <c r="E17" s="18" t="n">
        <v>-170</v>
      </c>
      <c r="F17" s="18" t="n">
        <v>-4</v>
      </c>
      <c r="G17" s="18" t="n">
        <v>-4</v>
      </c>
      <c r="H17" s="18" t="n">
        <v>-4</v>
      </c>
      <c r="I17" s="18" t="n">
        <v>-4</v>
      </c>
      <c r="J17" s="18" t="n">
        <v>-4</v>
      </c>
      <c r="K17" s="18" t="n">
        <v>-4</v>
      </c>
      <c r="L17" s="18" t="n">
        <v>-4</v>
      </c>
      <c r="M17" s="18" t="n">
        <v>-4</v>
      </c>
      <c r="N17" s="18" t="n">
        <v>-4</v>
      </c>
      <c r="O17" s="18" t="n">
        <v>-4</v>
      </c>
      <c r="P17" s="18" t="n">
        <v>-4</v>
      </c>
      <c r="Q17" s="18" t="n">
        <v>-4</v>
      </c>
      <c r="R17" s="31" t="n">
        <f aca="false">SUM(E17:Q17)</f>
        <v>-218</v>
      </c>
    </row>
    <row r="18" customFormat="false" ht="15" hidden="false" customHeight="false" outlineLevel="0" collapsed="false">
      <c r="B18" s="23" t="s">
        <v>205</v>
      </c>
      <c r="C18" s="24" t="s">
        <v>206</v>
      </c>
      <c r="D18" s="30" t="str">
        <f aca="false">INDEX('Chart of Accounts'!$D$7:$D$60,MATCH($B18,'Chart of Accounts'!$B$7:$B$60,0))</f>
        <v>Other receivables &amp; prepayments</v>
      </c>
      <c r="E18" s="18" t="n">
        <v>640</v>
      </c>
      <c r="F18" s="18" t="n">
        <v>18</v>
      </c>
      <c r="G18" s="18" t="n">
        <v>18</v>
      </c>
      <c r="H18" s="18" t="n">
        <v>18</v>
      </c>
      <c r="I18" s="18" t="n">
        <v>18</v>
      </c>
      <c r="J18" s="18" t="n">
        <v>18</v>
      </c>
      <c r="K18" s="18" t="n">
        <v>18</v>
      </c>
      <c r="L18" s="18" t="n">
        <v>18</v>
      </c>
      <c r="M18" s="18" t="n">
        <v>18</v>
      </c>
      <c r="N18" s="18" t="n">
        <v>-102</v>
      </c>
      <c r="O18" s="18" t="n">
        <v>18</v>
      </c>
      <c r="P18" s="18" t="n">
        <v>18</v>
      </c>
      <c r="Q18" s="18" t="n">
        <v>18</v>
      </c>
      <c r="R18" s="31" t="n">
        <f aca="false">SUM(E18:Q18)</f>
        <v>736</v>
      </c>
    </row>
    <row r="19" customFormat="false" ht="15" hidden="false" customHeight="false" outlineLevel="0" collapsed="false">
      <c r="B19" s="23" t="s">
        <v>207</v>
      </c>
      <c r="C19" s="24" t="s">
        <v>208</v>
      </c>
      <c r="D19" s="30" t="str">
        <f aca="false">INDEX('Chart of Accounts'!$D$7:$D$60,MATCH($B19,'Chart of Accounts'!$B$7:$B$60,0))</f>
        <v>Cash and cash equivalents</v>
      </c>
      <c r="E19" s="18" t="n">
        <v>2950</v>
      </c>
      <c r="F19" s="18" t="n">
        <v>242.8</v>
      </c>
      <c r="G19" s="18" t="n">
        <v>-514.1</v>
      </c>
      <c r="H19" s="18" t="n">
        <v>-242.3</v>
      </c>
      <c r="I19" s="18" t="n">
        <v>716.6</v>
      </c>
      <c r="J19" s="18" t="n">
        <v>809.4</v>
      </c>
      <c r="K19" s="18" t="n">
        <v>-764.9</v>
      </c>
      <c r="L19" s="18" t="n">
        <v>558</v>
      </c>
      <c r="M19" s="18" t="n">
        <v>509.6</v>
      </c>
      <c r="N19" s="18" t="n">
        <v>-228.1</v>
      </c>
      <c r="O19" s="18" t="n">
        <v>-168.2</v>
      </c>
      <c r="P19" s="18" t="n">
        <v>4.6</v>
      </c>
      <c r="Q19" s="18" t="n">
        <v>-487.8</v>
      </c>
      <c r="R19" s="31" t="n">
        <f aca="false">SUM(E19:Q19)</f>
        <v>3385.6</v>
      </c>
    </row>
    <row r="20" customFormat="false" ht="15" hidden="false" customHeight="false" outlineLevel="0" collapsed="false">
      <c r="B20" s="23" t="s">
        <v>210</v>
      </c>
      <c r="C20" s="24" t="s">
        <v>211</v>
      </c>
      <c r="D20" s="30" t="str">
        <f aca="false">INDEX('Chart of Accounts'!$D$7:$D$60,MATCH($B20,'Chart of Accounts'!$B$7:$B$60,0))</f>
        <v>Trade payables</v>
      </c>
      <c r="E20" s="18" t="n">
        <v>-5300</v>
      </c>
      <c r="F20" s="18" t="n">
        <v>201.2</v>
      </c>
      <c r="G20" s="18" t="n">
        <v>58</v>
      </c>
      <c r="H20" s="18" t="n">
        <v>-80.7</v>
      </c>
      <c r="I20" s="18" t="n">
        <v>294.9</v>
      </c>
      <c r="J20" s="18" t="n">
        <v>341.4</v>
      </c>
      <c r="K20" s="18" t="n">
        <v>372.5</v>
      </c>
      <c r="L20" s="18" t="n">
        <v>294.9</v>
      </c>
      <c r="M20" s="18" t="n">
        <v>62.1</v>
      </c>
      <c r="N20" s="18" t="n">
        <v>-325.9</v>
      </c>
      <c r="O20" s="18" t="n">
        <v>-620.8</v>
      </c>
      <c r="P20" s="18" t="n">
        <v>-574.2</v>
      </c>
      <c r="Q20" s="18" t="n">
        <v>-31</v>
      </c>
      <c r="R20" s="31" t="n">
        <f aca="false">SUM(E20:Q20)</f>
        <v>-5307.6</v>
      </c>
    </row>
    <row r="21" customFormat="false" ht="15" hidden="false" customHeight="false" outlineLevel="0" collapsed="false">
      <c r="B21" s="23" t="s">
        <v>214</v>
      </c>
      <c r="C21" s="24" t="s">
        <v>215</v>
      </c>
      <c r="D21" s="30" t="str">
        <f aca="false">INDEX('Chart of Accounts'!$D$7:$D$60,MATCH($B21,'Chart of Accounts'!$B$7:$B$60,0))</f>
        <v>Accrued customer rebates</v>
      </c>
      <c r="E21" s="18" t="n">
        <v>-1420</v>
      </c>
      <c r="F21" s="18" t="n">
        <v>320.4</v>
      </c>
      <c r="G21" s="18" t="n">
        <v>466</v>
      </c>
      <c r="H21" s="18" t="n">
        <v>276.6</v>
      </c>
      <c r="I21" s="18" t="n">
        <v>-133</v>
      </c>
      <c r="J21" s="18" t="n">
        <v>-123.2</v>
      </c>
      <c r="K21" s="18" t="n">
        <v>226.5</v>
      </c>
      <c r="L21" s="18" t="n">
        <v>-106.4</v>
      </c>
      <c r="M21" s="18" t="n">
        <v>-117.6</v>
      </c>
      <c r="N21" s="18" t="n">
        <v>194.5</v>
      </c>
      <c r="O21" s="18" t="n">
        <v>-162.4</v>
      </c>
      <c r="P21" s="18" t="n">
        <v>-169.4</v>
      </c>
      <c r="Q21" s="18" t="n">
        <v>293.5</v>
      </c>
      <c r="R21" s="31" t="n">
        <f aca="false">SUM(E21:Q21)</f>
        <v>-454.5</v>
      </c>
    </row>
    <row r="22" customFormat="false" ht="15" hidden="false" customHeight="false" outlineLevel="0" collapsed="false">
      <c r="B22" s="23" t="s">
        <v>216</v>
      </c>
      <c r="C22" s="24" t="s">
        <v>217</v>
      </c>
      <c r="D22" s="30" t="str">
        <f aca="false">INDEX('Chart of Accounts'!$D$7:$D$60,MATCH($B22,'Chart of Accounts'!$B$7:$B$60,0))</f>
        <v>Other accruals &amp; provisions</v>
      </c>
      <c r="E22" s="18" t="n">
        <v>-780</v>
      </c>
      <c r="F22" s="18" t="n">
        <v>434.6</v>
      </c>
      <c r="G22" s="18" t="n">
        <v>14.7</v>
      </c>
      <c r="H22" s="18" t="n">
        <v>6.4</v>
      </c>
      <c r="I22" s="18" t="n">
        <v>22.1</v>
      </c>
      <c r="J22" s="18" t="n">
        <v>21.3</v>
      </c>
      <c r="K22" s="18" t="n">
        <v>19.7</v>
      </c>
      <c r="L22" s="18" t="n">
        <v>19.5</v>
      </c>
      <c r="M22" s="18" t="n">
        <v>-37.3</v>
      </c>
      <c r="N22" s="18" t="n">
        <v>-79.5</v>
      </c>
      <c r="O22" s="18" t="n">
        <v>-46.9</v>
      </c>
      <c r="P22" s="18" t="n">
        <v>0</v>
      </c>
      <c r="Q22" s="18" t="n">
        <v>38.1</v>
      </c>
      <c r="R22" s="31" t="n">
        <f aca="false">SUM(E22:Q22)</f>
        <v>-367.3</v>
      </c>
    </row>
    <row r="23" customFormat="false" ht="15" hidden="false" customHeight="false" outlineLevel="0" collapsed="false">
      <c r="B23" s="23" t="s">
        <v>219</v>
      </c>
      <c r="C23" s="24" t="s">
        <v>220</v>
      </c>
      <c r="D23" s="30" t="str">
        <f aca="false">INDEX('Chart of Accounts'!$D$7:$D$60,MATCH($B23,'Chart of Accounts'!$B$7:$B$60,0))</f>
        <v>Accrued personnel costs</v>
      </c>
      <c r="E23" s="18" t="n">
        <v>-690</v>
      </c>
      <c r="F23" s="18" t="n">
        <v>-62</v>
      </c>
      <c r="G23" s="18" t="n">
        <v>498</v>
      </c>
      <c r="H23" s="18" t="n">
        <v>-62</v>
      </c>
      <c r="I23" s="18" t="n">
        <v>-62</v>
      </c>
      <c r="J23" s="18" t="n">
        <v>-62</v>
      </c>
      <c r="K23" s="18" t="n">
        <v>-62</v>
      </c>
      <c r="L23" s="18" t="n">
        <v>-62</v>
      </c>
      <c r="M23" s="18" t="n">
        <v>-62</v>
      </c>
      <c r="N23" s="18" t="n">
        <v>-62</v>
      </c>
      <c r="O23" s="18" t="n">
        <v>-62</v>
      </c>
      <c r="P23" s="18" t="n">
        <v>-62</v>
      </c>
      <c r="Q23" s="18" t="n">
        <v>-62</v>
      </c>
      <c r="R23" s="31" t="n">
        <f aca="false">SUM(E23:Q23)</f>
        <v>-874</v>
      </c>
    </row>
    <row r="24" customFormat="false" ht="15" hidden="false" customHeight="false" outlineLevel="0" collapsed="false">
      <c r="B24" s="23" t="s">
        <v>221</v>
      </c>
      <c r="C24" s="24" t="s">
        <v>218</v>
      </c>
      <c r="D24" s="30" t="str">
        <f aca="false">INDEX('Chart of Accounts'!$D$7:$D$60,MATCH($B24,'Chart of Accounts'!$B$7:$B$60,0))</f>
        <v>Other accruals &amp; provisions</v>
      </c>
      <c r="E24" s="18" t="n">
        <v>-410</v>
      </c>
      <c r="F24" s="18" t="n">
        <v>-12</v>
      </c>
      <c r="G24" s="18" t="n">
        <v>-12</v>
      </c>
      <c r="H24" s="18" t="n">
        <v>-12</v>
      </c>
      <c r="I24" s="18" t="n">
        <v>-12</v>
      </c>
      <c r="J24" s="18" t="n">
        <v>-12</v>
      </c>
      <c r="K24" s="18" t="n">
        <v>-12</v>
      </c>
      <c r="L24" s="18" t="n">
        <v>-12</v>
      </c>
      <c r="M24" s="18" t="n">
        <v>-12</v>
      </c>
      <c r="N24" s="18" t="n">
        <v>-12</v>
      </c>
      <c r="O24" s="18" t="n">
        <v>-12</v>
      </c>
      <c r="P24" s="18" t="n">
        <v>-12</v>
      </c>
      <c r="Q24" s="18" t="n">
        <v>-12</v>
      </c>
      <c r="R24" s="31" t="n">
        <f aca="false">SUM(E24:Q24)</f>
        <v>-554</v>
      </c>
    </row>
    <row r="25" customFormat="false" ht="15" hidden="false" customHeight="false" outlineLevel="0" collapsed="false">
      <c r="B25" s="23" t="s">
        <v>222</v>
      </c>
      <c r="C25" s="24" t="s">
        <v>223</v>
      </c>
      <c r="D25" s="30" t="str">
        <f aca="false">INDEX('Chart of Accounts'!$D$7:$D$60,MATCH($B25,'Chart of Accounts'!$B$7:$B$60,0))</f>
        <v>Lease liabilities - current</v>
      </c>
      <c r="E25" s="18" t="n">
        <v>-520</v>
      </c>
      <c r="F25" s="18" t="n">
        <v>-40</v>
      </c>
      <c r="G25" s="18" t="n">
        <v>0</v>
      </c>
      <c r="H25" s="18" t="n">
        <v>0</v>
      </c>
      <c r="I25" s="18" t="n">
        <v>0</v>
      </c>
      <c r="J25" s="18" t="n">
        <v>0</v>
      </c>
      <c r="K25" s="18" t="n">
        <v>0</v>
      </c>
      <c r="L25" s="18" t="n">
        <v>0</v>
      </c>
      <c r="M25" s="18" t="n">
        <v>0</v>
      </c>
      <c r="N25" s="18" t="n">
        <v>0</v>
      </c>
      <c r="O25" s="18" t="n">
        <v>0</v>
      </c>
      <c r="P25" s="18" t="n">
        <v>0</v>
      </c>
      <c r="Q25" s="18" t="n">
        <v>0</v>
      </c>
      <c r="R25" s="31" t="n">
        <f aca="false">SUM(E25:Q25)</f>
        <v>-560</v>
      </c>
    </row>
    <row r="26" customFormat="false" ht="15" hidden="false" customHeight="false" outlineLevel="0" collapsed="false">
      <c r="B26" s="23" t="s">
        <v>225</v>
      </c>
      <c r="C26" s="24" t="s">
        <v>226</v>
      </c>
      <c r="D26" s="30" t="str">
        <f aca="false">INDEX('Chart of Accounts'!$D$7:$D$60,MATCH($B26,'Chart of Accounts'!$B$7:$B$60,0))</f>
        <v>Borrowings - current</v>
      </c>
      <c r="E26" s="18" t="n">
        <v>-1000</v>
      </c>
      <c r="F26" s="18" t="n">
        <v>0</v>
      </c>
      <c r="G26" s="18" t="n">
        <v>0</v>
      </c>
      <c r="H26" s="18" t="n">
        <v>0</v>
      </c>
      <c r="I26" s="18" t="n">
        <v>0</v>
      </c>
      <c r="J26" s="18" t="n">
        <v>0</v>
      </c>
      <c r="K26" s="18" t="n">
        <v>0</v>
      </c>
      <c r="L26" s="18" t="n">
        <v>0</v>
      </c>
      <c r="M26" s="18" t="n">
        <v>0</v>
      </c>
      <c r="N26" s="18" t="n">
        <v>0</v>
      </c>
      <c r="O26" s="18" t="n">
        <v>0</v>
      </c>
      <c r="P26" s="18" t="n">
        <v>0</v>
      </c>
      <c r="Q26" s="18" t="n">
        <v>0</v>
      </c>
      <c r="R26" s="31" t="n">
        <f aca="false">SUM(E26:Q26)</f>
        <v>-1000</v>
      </c>
    </row>
    <row r="27" customFormat="false" ht="15" hidden="false" customHeight="false" outlineLevel="0" collapsed="false">
      <c r="B27" s="23" t="s">
        <v>228</v>
      </c>
      <c r="C27" s="24" t="s">
        <v>229</v>
      </c>
      <c r="D27" s="30" t="str">
        <f aca="false">INDEX('Chart of Accounts'!$D$7:$D$60,MATCH($B27,'Chart of Accounts'!$B$7:$B$60,0))</f>
        <v>Current tax payable</v>
      </c>
      <c r="E27" s="18" t="n">
        <v>-120</v>
      </c>
      <c r="F27" s="18" t="n">
        <v>32.3</v>
      </c>
      <c r="G27" s="18" t="n">
        <v>-40.1</v>
      </c>
      <c r="H27" s="18" t="n">
        <v>-35.1</v>
      </c>
      <c r="I27" s="18" t="n">
        <v>50.8</v>
      </c>
      <c r="J27" s="18" t="n">
        <v>-21.6</v>
      </c>
      <c r="K27" s="18" t="n">
        <v>-16.4</v>
      </c>
      <c r="L27" s="18" t="n">
        <v>66.3</v>
      </c>
      <c r="M27" s="18" t="n">
        <v>-16.5</v>
      </c>
      <c r="N27" s="18" t="n">
        <v>-30</v>
      </c>
      <c r="O27" s="18" t="n">
        <v>36.7</v>
      </c>
      <c r="P27" s="18" t="n">
        <v>-47.7</v>
      </c>
      <c r="Q27" s="18" t="n">
        <v>-14</v>
      </c>
      <c r="R27" s="31" t="n">
        <f aca="false">SUM(E27:Q27)</f>
        <v>-155.3</v>
      </c>
    </row>
    <row r="28" customFormat="false" ht="15" hidden="false" customHeight="false" outlineLevel="0" collapsed="false">
      <c r="B28" s="23" t="s">
        <v>231</v>
      </c>
      <c r="C28" s="24" t="s">
        <v>232</v>
      </c>
      <c r="D28" s="30" t="str">
        <f aca="false">INDEX('Chart of Accounts'!$D$7:$D$60,MATCH($B28,'Chart of Accounts'!$B$7:$B$60,0))</f>
        <v>Other payables</v>
      </c>
      <c r="E28" s="18" t="n">
        <v>-830</v>
      </c>
      <c r="F28" s="18" t="n">
        <v>0</v>
      </c>
      <c r="G28" s="18" t="n">
        <v>17.6</v>
      </c>
      <c r="H28" s="18" t="n">
        <v>17.9</v>
      </c>
      <c r="I28" s="18" t="n">
        <v>50.6</v>
      </c>
      <c r="J28" s="18" t="n">
        <v>33.4</v>
      </c>
      <c r="K28" s="18" t="n">
        <v>29.5</v>
      </c>
      <c r="L28" s="18" t="n">
        <v>30.4</v>
      </c>
      <c r="M28" s="18" t="n">
        <v>-40.3</v>
      </c>
      <c r="N28" s="18" t="n">
        <v>-89.9</v>
      </c>
      <c r="O28" s="18" t="n">
        <v>-57.7</v>
      </c>
      <c r="P28" s="18" t="n">
        <v>-21.5</v>
      </c>
      <c r="Q28" s="18" t="n">
        <v>70.2</v>
      </c>
      <c r="R28" s="31" t="n">
        <f aca="false">SUM(E28:Q28)</f>
        <v>-789.8</v>
      </c>
    </row>
    <row r="29" customFormat="false" ht="15" hidden="false" customHeight="false" outlineLevel="0" collapsed="false">
      <c r="B29" s="23" t="s">
        <v>234</v>
      </c>
      <c r="C29" s="24" t="s">
        <v>235</v>
      </c>
      <c r="D29" s="30" t="str">
        <f aca="false">INDEX('Chart of Accounts'!$D$7:$D$60,MATCH($B29,'Chart of Accounts'!$B$7:$B$60,0))</f>
        <v>Other payables</v>
      </c>
      <c r="E29" s="18" t="n">
        <v>-300</v>
      </c>
      <c r="F29" s="18" t="n">
        <v>0</v>
      </c>
      <c r="G29" s="18" t="n">
        <v>0</v>
      </c>
      <c r="H29" s="18" t="n">
        <v>0</v>
      </c>
      <c r="I29" s="18" t="n">
        <v>0</v>
      </c>
      <c r="J29" s="18" t="n">
        <v>0</v>
      </c>
      <c r="K29" s="18" t="n">
        <v>0</v>
      </c>
      <c r="L29" s="18" t="n">
        <v>0</v>
      </c>
      <c r="M29" s="18" t="n">
        <v>0</v>
      </c>
      <c r="N29" s="18" t="n">
        <v>0</v>
      </c>
      <c r="O29" s="18" t="n">
        <v>0</v>
      </c>
      <c r="P29" s="18" t="n">
        <v>0</v>
      </c>
      <c r="Q29" s="18" t="n">
        <v>0</v>
      </c>
      <c r="R29" s="31" t="n">
        <f aca="false">SUM(E29:Q29)</f>
        <v>-300</v>
      </c>
    </row>
    <row r="30" customFormat="false" ht="15" hidden="false" customHeight="false" outlineLevel="0" collapsed="false">
      <c r="B30" s="23" t="s">
        <v>236</v>
      </c>
      <c r="C30" s="24" t="s">
        <v>237</v>
      </c>
      <c r="D30" s="30" t="str">
        <f aca="false">INDEX('Chart of Accounts'!$D$7:$D$60,MATCH($B30,'Chart of Accounts'!$B$7:$B$60,0))</f>
        <v>Lease liabilities - non-current</v>
      </c>
      <c r="E30" s="18" t="n">
        <v>-1560</v>
      </c>
      <c r="F30" s="18" t="n">
        <v>85.4</v>
      </c>
      <c r="G30" s="18" t="n">
        <v>45.7</v>
      </c>
      <c r="H30" s="18" t="n">
        <v>45.9</v>
      </c>
      <c r="I30" s="18" t="n">
        <v>46.1</v>
      </c>
      <c r="J30" s="18" t="n">
        <v>46.4</v>
      </c>
      <c r="K30" s="18" t="n">
        <v>46.6</v>
      </c>
      <c r="L30" s="18" t="n">
        <v>46.8</v>
      </c>
      <c r="M30" s="18" t="n">
        <v>47.1</v>
      </c>
      <c r="N30" s="18" t="n">
        <v>47.3</v>
      </c>
      <c r="O30" s="18" t="n">
        <v>47.5</v>
      </c>
      <c r="P30" s="18" t="n">
        <v>47.8</v>
      </c>
      <c r="Q30" s="18" t="n">
        <v>48</v>
      </c>
      <c r="R30" s="31" t="n">
        <f aca="false">SUM(E30:Q30)</f>
        <v>-959.4</v>
      </c>
    </row>
    <row r="31" customFormat="false" ht="15" hidden="false" customHeight="false" outlineLevel="0" collapsed="false">
      <c r="B31" s="23" t="s">
        <v>240</v>
      </c>
      <c r="C31" s="24" t="s">
        <v>241</v>
      </c>
      <c r="D31" s="30" t="str">
        <f aca="false">INDEX('Chart of Accounts'!$D$7:$D$60,MATCH($B31,'Chart of Accounts'!$B$7:$B$60,0))</f>
        <v>Borrowings - non-current</v>
      </c>
      <c r="E31" s="18" t="n">
        <v>-2000</v>
      </c>
      <c r="F31" s="18" t="n">
        <v>0</v>
      </c>
      <c r="G31" s="18" t="n">
        <v>0</v>
      </c>
      <c r="H31" s="18" t="n">
        <v>250</v>
      </c>
      <c r="I31" s="18" t="n">
        <v>0</v>
      </c>
      <c r="J31" s="18" t="n">
        <v>0</v>
      </c>
      <c r="K31" s="18" t="n">
        <v>250</v>
      </c>
      <c r="L31" s="18" t="n">
        <v>0</v>
      </c>
      <c r="M31" s="18" t="n">
        <v>0</v>
      </c>
      <c r="N31" s="18" t="n">
        <v>250</v>
      </c>
      <c r="O31" s="18" t="n">
        <v>0</v>
      </c>
      <c r="P31" s="18" t="n">
        <v>0</v>
      </c>
      <c r="Q31" s="18" t="n">
        <v>250</v>
      </c>
      <c r="R31" s="31" t="n">
        <f aca="false">SUM(E31:Q31)</f>
        <v>-1000</v>
      </c>
    </row>
    <row r="32" customFormat="false" ht="15" hidden="false" customHeight="false" outlineLevel="0" collapsed="false">
      <c r="B32" s="23" t="s">
        <v>243</v>
      </c>
      <c r="C32" s="24" t="s">
        <v>244</v>
      </c>
      <c r="D32" s="30" t="str">
        <f aca="false">INDEX('Chart of Accounts'!$D$7:$D$60,MATCH($B32,'Chart of Accounts'!$B$7:$B$60,0))</f>
        <v>Share capital</v>
      </c>
      <c r="E32" s="18" t="n">
        <v>-500</v>
      </c>
      <c r="F32" s="18" t="n">
        <v>0</v>
      </c>
      <c r="G32" s="18" t="n">
        <v>0</v>
      </c>
      <c r="H32" s="18" t="n">
        <v>0</v>
      </c>
      <c r="I32" s="18" t="n">
        <v>0</v>
      </c>
      <c r="J32" s="18" t="n">
        <v>0</v>
      </c>
      <c r="K32" s="18" t="n">
        <v>0</v>
      </c>
      <c r="L32" s="18" t="n">
        <v>0</v>
      </c>
      <c r="M32" s="18" t="n">
        <v>0</v>
      </c>
      <c r="N32" s="18" t="n">
        <v>0</v>
      </c>
      <c r="O32" s="18" t="n">
        <v>0</v>
      </c>
      <c r="P32" s="18" t="n">
        <v>0</v>
      </c>
      <c r="Q32" s="18" t="n">
        <v>0</v>
      </c>
      <c r="R32" s="31" t="n">
        <f aca="false">SUM(E32:Q32)</f>
        <v>-500</v>
      </c>
    </row>
    <row r="33" customFormat="false" ht="15" hidden="false" customHeight="false" outlineLevel="0" collapsed="false">
      <c r="B33" s="23" t="s">
        <v>247</v>
      </c>
      <c r="C33" s="24" t="s">
        <v>248</v>
      </c>
      <c r="D33" s="30" t="str">
        <f aca="false">INDEX('Chart of Accounts'!$D$7:$D$60,MATCH($B33,'Chart of Accounts'!$B$7:$B$60,0))</f>
        <v>Retained earnings brought forward</v>
      </c>
      <c r="E33" s="18" t="n">
        <v>-5220</v>
      </c>
      <c r="F33" s="18" t="n">
        <v>0</v>
      </c>
      <c r="G33" s="18" t="n">
        <v>0</v>
      </c>
      <c r="H33" s="18" t="n">
        <v>0</v>
      </c>
      <c r="I33" s="18" t="n">
        <v>0</v>
      </c>
      <c r="J33" s="18" t="n">
        <v>0</v>
      </c>
      <c r="K33" s="18" t="n">
        <v>1000</v>
      </c>
      <c r="L33" s="18" t="n">
        <v>0</v>
      </c>
      <c r="M33" s="18" t="n">
        <v>0</v>
      </c>
      <c r="N33" s="18" t="n">
        <v>0</v>
      </c>
      <c r="O33" s="18" t="n">
        <v>0</v>
      </c>
      <c r="P33" s="18" t="n">
        <v>0</v>
      </c>
      <c r="Q33" s="18" t="n">
        <v>0</v>
      </c>
      <c r="R33" s="31" t="n">
        <f aca="false">SUM(E33:Q33)</f>
        <v>-4220</v>
      </c>
    </row>
    <row r="34" customFormat="false" ht="15" hidden="false" customHeight="false" outlineLevel="0" collapsed="false">
      <c r="B34" s="26" t="s">
        <v>249</v>
      </c>
      <c r="C34" s="27" t="s">
        <v>250</v>
      </c>
      <c r="D34" s="32" t="str">
        <f aca="false">INDEX('Chart of Accounts'!$D$7:$D$60,MATCH($B34,'Chart of Accounts'!$B$7:$B$60,0))</f>
        <v>Gross product sales</v>
      </c>
      <c r="E34" s="33" t="n">
        <v>0</v>
      </c>
      <c r="F34" s="33" t="n">
        <v>-2473.8</v>
      </c>
      <c r="G34" s="33" t="n">
        <v>-2373</v>
      </c>
      <c r="H34" s="33" t="n">
        <v>-2273.2</v>
      </c>
      <c r="I34" s="33" t="n">
        <v>-2025.2</v>
      </c>
      <c r="J34" s="33" t="n">
        <v>-1864.8</v>
      </c>
      <c r="K34" s="33" t="n">
        <v>-1727.2</v>
      </c>
      <c r="L34" s="33" t="n">
        <v>-1591.2</v>
      </c>
      <c r="M34" s="33" t="n">
        <v>-1748</v>
      </c>
      <c r="N34" s="33" t="n">
        <v>-2130.2</v>
      </c>
      <c r="O34" s="33" t="n">
        <v>-2384.3</v>
      </c>
      <c r="P34" s="33" t="n">
        <v>-2471.7</v>
      </c>
      <c r="Q34" s="33" t="n">
        <v>-2131.5</v>
      </c>
      <c r="R34" s="34" t="n">
        <f aca="false">SUM(E34:Q34)</f>
        <v>-25194.1</v>
      </c>
    </row>
    <row r="35" customFormat="false" ht="15" hidden="false" customHeight="false" outlineLevel="0" collapsed="false">
      <c r="B35" s="26" t="s">
        <v>254</v>
      </c>
      <c r="C35" s="27" t="s">
        <v>255</v>
      </c>
      <c r="D35" s="32" t="str">
        <f aca="false">INDEX('Chart of Accounts'!$D$7:$D$60,MATCH($B35,'Chart of Accounts'!$B$7:$B$60,0))</f>
        <v>Gross product sales</v>
      </c>
      <c r="E35" s="33" t="n">
        <v>0</v>
      </c>
      <c r="F35" s="33" t="n">
        <v>-1236.9</v>
      </c>
      <c r="G35" s="33" t="n">
        <v>-1186.5</v>
      </c>
      <c r="H35" s="33" t="n">
        <v>-1136.6</v>
      </c>
      <c r="I35" s="33" t="n">
        <v>-1012.6</v>
      </c>
      <c r="J35" s="33" t="n">
        <v>-932.4</v>
      </c>
      <c r="K35" s="33" t="n">
        <v>-863.6</v>
      </c>
      <c r="L35" s="33" t="n">
        <v>-795.6</v>
      </c>
      <c r="M35" s="33" t="n">
        <v>-874</v>
      </c>
      <c r="N35" s="33" t="n">
        <v>-1065.1</v>
      </c>
      <c r="O35" s="33" t="n">
        <v>-1192.2</v>
      </c>
      <c r="P35" s="33" t="n">
        <v>-1235.9</v>
      </c>
      <c r="Q35" s="33" t="n">
        <v>-1065.8</v>
      </c>
      <c r="R35" s="34" t="n">
        <f aca="false">SUM(E35:Q35)</f>
        <v>-12597.2</v>
      </c>
    </row>
    <row r="36" customFormat="false" ht="15" hidden="false" customHeight="false" outlineLevel="0" collapsed="false">
      <c r="B36" s="26" t="s">
        <v>256</v>
      </c>
      <c r="C36" s="27" t="s">
        <v>257</v>
      </c>
      <c r="D36" s="32" t="str">
        <f aca="false">INDEX('Chart of Accounts'!$D$7:$D$60,MATCH($B36,'Chart of Accounts'!$B$7:$B$60,0))</f>
        <v>Gross product sales</v>
      </c>
      <c r="E36" s="33" t="n">
        <v>0</v>
      </c>
      <c r="F36" s="33" t="n">
        <v>-279.3</v>
      </c>
      <c r="G36" s="33" t="n">
        <v>-290.5</v>
      </c>
      <c r="H36" s="33" t="n">
        <v>-300.2</v>
      </c>
      <c r="I36" s="33" t="n">
        <v>-287.2</v>
      </c>
      <c r="J36" s="33" t="n">
        <v>-282.8</v>
      </c>
      <c r="K36" s="33" t="n">
        <v>-279.2</v>
      </c>
      <c r="L36" s="33" t="n">
        <v>-273.3</v>
      </c>
      <c r="M36" s="33" t="n">
        <v>-318.1</v>
      </c>
      <c r="N36" s="33" t="n">
        <v>-409.7</v>
      </c>
      <c r="O36" s="33" t="n">
        <v>-483.5</v>
      </c>
      <c r="P36" s="33" t="n">
        <v>-527.4</v>
      </c>
      <c r="Q36" s="33" t="n">
        <v>-477.8</v>
      </c>
      <c r="R36" s="34" t="n">
        <f aca="false">SUM(E36:Q36)</f>
        <v>-4209</v>
      </c>
    </row>
    <row r="37" customFormat="false" ht="15" hidden="false" customHeight="false" outlineLevel="0" collapsed="false">
      <c r="B37" s="26" t="s">
        <v>258</v>
      </c>
      <c r="C37" s="27" t="s">
        <v>86</v>
      </c>
      <c r="D37" s="32" t="str">
        <f aca="false">INDEX('Chart of Accounts'!$D$7:$D$60,MATCH($B37,'Chart of Accounts'!$B$7:$B$60,0))</f>
        <v>Trade discounts</v>
      </c>
      <c r="E37" s="33" t="n">
        <v>0</v>
      </c>
      <c r="F37" s="33" t="n">
        <v>123.7</v>
      </c>
      <c r="G37" s="33" t="n">
        <v>119.4</v>
      </c>
      <c r="H37" s="33" t="n">
        <v>115</v>
      </c>
      <c r="I37" s="33" t="n">
        <v>103.1</v>
      </c>
      <c r="J37" s="33" t="n">
        <v>95.5</v>
      </c>
      <c r="K37" s="33" t="n">
        <v>89</v>
      </c>
      <c r="L37" s="33" t="n">
        <v>82.5</v>
      </c>
      <c r="M37" s="33" t="n">
        <v>91.1</v>
      </c>
      <c r="N37" s="33" t="n">
        <v>111.8</v>
      </c>
      <c r="O37" s="33" t="n">
        <v>125.9</v>
      </c>
      <c r="P37" s="33" t="n">
        <v>131.3</v>
      </c>
      <c r="Q37" s="33" t="n">
        <v>113.9</v>
      </c>
      <c r="R37" s="34" t="n">
        <f aca="false">SUM(E37:Q37)</f>
        <v>1302.2</v>
      </c>
    </row>
    <row r="38" customFormat="false" ht="15" hidden="false" customHeight="false" outlineLevel="0" collapsed="false">
      <c r="B38" s="26" t="s">
        <v>259</v>
      </c>
      <c r="C38" s="27" t="s">
        <v>260</v>
      </c>
      <c r="D38" s="32" t="str">
        <f aca="false">INDEX('Chart of Accounts'!$D$7:$D$60,MATCH($B38,'Chart of Accounts'!$B$7:$B$60,0))</f>
        <v>Customer rebates</v>
      </c>
      <c r="E38" s="33" t="n">
        <v>0</v>
      </c>
      <c r="F38" s="33" t="n">
        <v>159.6</v>
      </c>
      <c r="G38" s="33" t="n">
        <v>154</v>
      </c>
      <c r="H38" s="33" t="n">
        <v>148.4</v>
      </c>
      <c r="I38" s="33" t="n">
        <v>133</v>
      </c>
      <c r="J38" s="33" t="n">
        <v>123.2</v>
      </c>
      <c r="K38" s="33" t="n">
        <v>114.8</v>
      </c>
      <c r="L38" s="33" t="n">
        <v>106.4</v>
      </c>
      <c r="M38" s="33" t="n">
        <v>117.6</v>
      </c>
      <c r="N38" s="33" t="n">
        <v>144.2</v>
      </c>
      <c r="O38" s="33" t="n">
        <v>162.4</v>
      </c>
      <c r="P38" s="33" t="n">
        <v>169.4</v>
      </c>
      <c r="Q38" s="33" t="n">
        <v>147</v>
      </c>
      <c r="R38" s="34" t="n">
        <f aca="false">SUM(E38:Q38)</f>
        <v>1680</v>
      </c>
    </row>
    <row r="39" customFormat="false" ht="15" hidden="false" customHeight="false" outlineLevel="0" collapsed="false">
      <c r="B39" s="26" t="s">
        <v>261</v>
      </c>
      <c r="C39" s="27" t="s">
        <v>93</v>
      </c>
      <c r="D39" s="32" t="str">
        <f aca="false">INDEX('Chart of Accounts'!$D$7:$D$60,MATCH($B39,'Chart of Accounts'!$B$7:$B$60,0))</f>
        <v>Returns &amp; credit notes</v>
      </c>
      <c r="E39" s="33" t="n">
        <v>0</v>
      </c>
      <c r="F39" s="33" t="n">
        <v>33.9</v>
      </c>
      <c r="G39" s="33" t="n">
        <v>32.7</v>
      </c>
      <c r="H39" s="33" t="n">
        <v>31.5</v>
      </c>
      <c r="I39" s="33" t="n">
        <v>28.3</v>
      </c>
      <c r="J39" s="33" t="n">
        <v>26.2</v>
      </c>
      <c r="K39" s="33" t="n">
        <v>24.4</v>
      </c>
      <c r="L39" s="33" t="n">
        <v>22.6</v>
      </c>
      <c r="M39" s="33" t="n">
        <v>25</v>
      </c>
      <c r="N39" s="33" t="n">
        <v>30.6</v>
      </c>
      <c r="O39" s="33" t="n">
        <v>34.5</v>
      </c>
      <c r="P39" s="33" t="n">
        <v>36</v>
      </c>
      <c r="Q39" s="33" t="n">
        <v>31.2</v>
      </c>
      <c r="R39" s="34" t="n">
        <f aca="false">SUM(E39:Q39)</f>
        <v>356.9</v>
      </c>
    </row>
    <row r="40" customFormat="false" ht="15" hidden="false" customHeight="false" outlineLevel="0" collapsed="false">
      <c r="B40" s="26" t="s">
        <v>262</v>
      </c>
      <c r="C40" s="27" t="s">
        <v>263</v>
      </c>
      <c r="D40" s="32" t="str">
        <f aca="false">INDEX('Chart of Accounts'!$D$7:$D$60,MATCH($B40,'Chart of Accounts'!$B$7:$B$60,0))</f>
        <v>Product cost</v>
      </c>
      <c r="E40" s="33" t="n">
        <v>0</v>
      </c>
      <c r="F40" s="33" t="n">
        <v>2023.7</v>
      </c>
      <c r="G40" s="33" t="n">
        <v>1952.7</v>
      </c>
      <c r="H40" s="33" t="n">
        <v>1881.7</v>
      </c>
      <c r="I40" s="33" t="n">
        <v>1686.4</v>
      </c>
      <c r="J40" s="33" t="n">
        <v>1562.2</v>
      </c>
      <c r="K40" s="33" t="n">
        <v>1455.7</v>
      </c>
      <c r="L40" s="33" t="n">
        <v>1349.1</v>
      </c>
      <c r="M40" s="33" t="n">
        <v>1491.2</v>
      </c>
      <c r="N40" s="33" t="n">
        <v>1828.4</v>
      </c>
      <c r="O40" s="33" t="n">
        <v>2059.2</v>
      </c>
      <c r="P40" s="33" t="n">
        <v>2148</v>
      </c>
      <c r="Q40" s="33" t="n">
        <v>1863.9</v>
      </c>
      <c r="R40" s="34" t="n">
        <f aca="false">SUM(E40:Q40)</f>
        <v>21302.2</v>
      </c>
    </row>
    <row r="41" customFormat="false" ht="15" hidden="false" customHeight="false" outlineLevel="0" collapsed="false">
      <c r="B41" s="26" t="s">
        <v>265</v>
      </c>
      <c r="C41" s="27" t="s">
        <v>266</v>
      </c>
      <c r="D41" s="32" t="str">
        <f aca="false">INDEX('Chart of Accounts'!$D$7:$D$60,MATCH($B41,'Chart of Accounts'!$B$7:$B$60,0))</f>
        <v>Inbound freight &amp; duties</v>
      </c>
      <c r="E41" s="33" t="n">
        <v>0</v>
      </c>
      <c r="F41" s="33" t="n">
        <v>157.9</v>
      </c>
      <c r="G41" s="33" t="n">
        <v>152.4</v>
      </c>
      <c r="H41" s="33" t="n">
        <v>146.8</v>
      </c>
      <c r="I41" s="33" t="n">
        <v>131.6</v>
      </c>
      <c r="J41" s="33" t="n">
        <v>121.9</v>
      </c>
      <c r="K41" s="33" t="n">
        <v>113.6</v>
      </c>
      <c r="L41" s="33" t="n">
        <v>105.3</v>
      </c>
      <c r="M41" s="33" t="n">
        <v>116.4</v>
      </c>
      <c r="N41" s="33" t="n">
        <v>142.7</v>
      </c>
      <c r="O41" s="33" t="n">
        <v>160.7</v>
      </c>
      <c r="P41" s="33" t="n">
        <v>167.6</v>
      </c>
      <c r="Q41" s="33" t="n">
        <v>145.5</v>
      </c>
      <c r="R41" s="34" t="n">
        <f aca="false">SUM(E41:Q41)</f>
        <v>1662.4</v>
      </c>
    </row>
    <row r="42" customFormat="false" ht="15" hidden="false" customHeight="false" outlineLevel="0" collapsed="false">
      <c r="B42" s="26" t="s">
        <v>267</v>
      </c>
      <c r="C42" s="27" t="s">
        <v>99</v>
      </c>
      <c r="D42" s="32" t="str">
        <f aca="false">INDEX('Chart of Accounts'!$D$7:$D$60,MATCH($B42,'Chart of Accounts'!$B$7:$B$60,0))</f>
        <v>Inventory write-offs</v>
      </c>
      <c r="E42" s="33" t="n">
        <v>0</v>
      </c>
      <c r="F42" s="33" t="n">
        <v>19.3</v>
      </c>
      <c r="G42" s="33" t="n">
        <v>19.3</v>
      </c>
      <c r="H42" s="33" t="n">
        <v>19.3</v>
      </c>
      <c r="I42" s="33" t="n">
        <v>19.3</v>
      </c>
      <c r="J42" s="33" t="n">
        <v>19.3</v>
      </c>
      <c r="K42" s="33" t="n">
        <v>19.3</v>
      </c>
      <c r="L42" s="33" t="n">
        <v>19.3</v>
      </c>
      <c r="M42" s="33" t="n">
        <v>19.3</v>
      </c>
      <c r="N42" s="33" t="n">
        <v>19.3</v>
      </c>
      <c r="O42" s="33" t="n">
        <v>19.3</v>
      </c>
      <c r="P42" s="33" t="n">
        <v>19.3</v>
      </c>
      <c r="Q42" s="33" t="n">
        <v>19.3</v>
      </c>
      <c r="R42" s="34" t="n">
        <f aca="false">SUM(E42:Q42)</f>
        <v>231.6</v>
      </c>
    </row>
    <row r="43" customFormat="false" ht="15" hidden="false" customHeight="false" outlineLevel="0" collapsed="false">
      <c r="B43" s="26" t="s">
        <v>269</v>
      </c>
      <c r="C43" s="27" t="s">
        <v>101</v>
      </c>
      <c r="D43" s="32" t="str">
        <f aca="false">INDEX('Chart of Accounts'!$D$7:$D$60,MATCH($B43,'Chart of Accounts'!$B$7:$B$60,0))</f>
        <v>A&amp;P - media &amp; digital</v>
      </c>
      <c r="E43" s="33" t="n">
        <v>0</v>
      </c>
      <c r="F43" s="33" t="n">
        <v>216.9</v>
      </c>
      <c r="G43" s="33" t="n">
        <v>204.1</v>
      </c>
      <c r="H43" s="33" t="n">
        <v>204.1</v>
      </c>
      <c r="I43" s="33" t="n">
        <v>191.4</v>
      </c>
      <c r="J43" s="33" t="n">
        <v>178.6</v>
      </c>
      <c r="K43" s="33" t="n">
        <v>165.9</v>
      </c>
      <c r="L43" s="33" t="n">
        <v>153.1</v>
      </c>
      <c r="M43" s="33" t="n">
        <v>191.4</v>
      </c>
      <c r="N43" s="33" t="n">
        <v>255.2</v>
      </c>
      <c r="O43" s="33" t="n">
        <v>280.7</v>
      </c>
      <c r="P43" s="33" t="n">
        <v>267.9</v>
      </c>
      <c r="Q43" s="33" t="n">
        <v>242.4</v>
      </c>
      <c r="R43" s="34" t="n">
        <f aca="false">SUM(E43:Q43)</f>
        <v>2551.7</v>
      </c>
    </row>
    <row r="44" customFormat="false" ht="15" hidden="false" customHeight="false" outlineLevel="0" collapsed="false">
      <c r="B44" s="26" t="s">
        <v>271</v>
      </c>
      <c r="C44" s="27" t="s">
        <v>103</v>
      </c>
      <c r="D44" s="32" t="str">
        <f aca="false">INDEX('Chart of Accounts'!$D$7:$D$60,MATCH($B44,'Chart of Accounts'!$B$7:$B$60,0))</f>
        <v>A&amp;P - trade &amp; POS</v>
      </c>
      <c r="E44" s="33" t="n">
        <v>0</v>
      </c>
      <c r="F44" s="33" t="n">
        <v>128.5</v>
      </c>
      <c r="G44" s="33" t="n">
        <v>124</v>
      </c>
      <c r="H44" s="33" t="n">
        <v>119.5</v>
      </c>
      <c r="I44" s="33" t="n">
        <v>107.1</v>
      </c>
      <c r="J44" s="33" t="n">
        <v>99.2</v>
      </c>
      <c r="K44" s="33" t="n">
        <v>92.5</v>
      </c>
      <c r="L44" s="33" t="n">
        <v>85.7</v>
      </c>
      <c r="M44" s="33" t="n">
        <v>94.7</v>
      </c>
      <c r="N44" s="33" t="n">
        <v>116.1</v>
      </c>
      <c r="O44" s="33" t="n">
        <v>130.8</v>
      </c>
      <c r="P44" s="33" t="n">
        <v>136.4</v>
      </c>
      <c r="Q44" s="33" t="n">
        <v>118.4</v>
      </c>
      <c r="R44" s="34" t="n">
        <f aca="false">SUM(E44:Q44)</f>
        <v>1352.9</v>
      </c>
    </row>
    <row r="45" customFormat="false" ht="15" hidden="false" customHeight="false" outlineLevel="0" collapsed="false">
      <c r="B45" s="26" t="s">
        <v>273</v>
      </c>
      <c r="C45" s="27" t="s">
        <v>274</v>
      </c>
      <c r="D45" s="32" t="str">
        <f aca="false">INDEX('Chart of Accounts'!$D$7:$D$60,MATCH($B45,'Chart of Accounts'!$B$7:$B$60,0))</f>
        <v>Medical &amp; regulatory affairs</v>
      </c>
      <c r="E45" s="33" t="n">
        <v>0</v>
      </c>
      <c r="F45" s="33" t="n">
        <v>29</v>
      </c>
      <c r="G45" s="33" t="n">
        <v>29</v>
      </c>
      <c r="H45" s="33" t="n">
        <v>29</v>
      </c>
      <c r="I45" s="33" t="n">
        <v>29</v>
      </c>
      <c r="J45" s="33" t="n">
        <v>29</v>
      </c>
      <c r="K45" s="33" t="n">
        <v>29</v>
      </c>
      <c r="L45" s="33" t="n">
        <v>29</v>
      </c>
      <c r="M45" s="33" t="n">
        <v>29</v>
      </c>
      <c r="N45" s="33" t="n">
        <v>29</v>
      </c>
      <c r="O45" s="33" t="n">
        <v>29</v>
      </c>
      <c r="P45" s="33" t="n">
        <v>29</v>
      </c>
      <c r="Q45" s="33" t="n">
        <v>29</v>
      </c>
      <c r="R45" s="34" t="n">
        <f aca="false">SUM(E45:Q45)</f>
        <v>348</v>
      </c>
    </row>
    <row r="46" customFormat="false" ht="15" hidden="false" customHeight="false" outlineLevel="0" collapsed="false">
      <c r="B46" s="26" t="s">
        <v>275</v>
      </c>
      <c r="C46" s="27" t="s">
        <v>276</v>
      </c>
      <c r="D46" s="32" t="str">
        <f aca="false">INDEX('Chart of Accounts'!$D$7:$D$60,MATCH($B46,'Chart of Accounts'!$B$7:$B$60,0))</f>
        <v>Warehousing (3PL)</v>
      </c>
      <c r="E46" s="33" t="n">
        <v>0</v>
      </c>
      <c r="F46" s="33" t="n">
        <v>67.7</v>
      </c>
      <c r="G46" s="33" t="n">
        <v>67</v>
      </c>
      <c r="H46" s="33" t="n">
        <v>66.2</v>
      </c>
      <c r="I46" s="33" t="n">
        <v>64</v>
      </c>
      <c r="J46" s="33" t="n">
        <v>62.7</v>
      </c>
      <c r="K46" s="33" t="n">
        <v>61.5</v>
      </c>
      <c r="L46" s="33" t="n">
        <v>60.3</v>
      </c>
      <c r="M46" s="33" t="n">
        <v>61.9</v>
      </c>
      <c r="N46" s="33" t="n">
        <v>65.6</v>
      </c>
      <c r="O46" s="33" t="n">
        <v>68.1</v>
      </c>
      <c r="P46" s="33" t="n">
        <v>69.1</v>
      </c>
      <c r="Q46" s="33" t="n">
        <v>66</v>
      </c>
      <c r="R46" s="34" t="n">
        <f aca="false">SUM(E46:Q46)</f>
        <v>780.1</v>
      </c>
    </row>
    <row r="47" customFormat="false" ht="15" hidden="false" customHeight="false" outlineLevel="0" collapsed="false">
      <c r="B47" s="26" t="s">
        <v>278</v>
      </c>
      <c r="C47" s="27" t="s">
        <v>279</v>
      </c>
      <c r="D47" s="32" t="str">
        <f aca="false">INDEX('Chart of Accounts'!$D$7:$D$60,MATCH($B47,'Chart of Accounts'!$B$7:$B$60,0))</f>
        <v>Outbound freight</v>
      </c>
      <c r="E47" s="33" t="n">
        <v>0</v>
      </c>
      <c r="F47" s="33" t="n">
        <v>117.5</v>
      </c>
      <c r="G47" s="33" t="n">
        <v>113.4</v>
      </c>
      <c r="H47" s="33" t="n">
        <v>109.3</v>
      </c>
      <c r="I47" s="33" t="n">
        <v>97.9</v>
      </c>
      <c r="J47" s="33" t="n">
        <v>90.7</v>
      </c>
      <c r="K47" s="33" t="n">
        <v>84.5</v>
      </c>
      <c r="L47" s="33" t="n">
        <v>78.4</v>
      </c>
      <c r="M47" s="33" t="n">
        <v>86.6</v>
      </c>
      <c r="N47" s="33" t="n">
        <v>106.2</v>
      </c>
      <c r="O47" s="33" t="n">
        <v>119.6</v>
      </c>
      <c r="P47" s="33" t="n">
        <v>124.7</v>
      </c>
      <c r="Q47" s="33" t="n">
        <v>108.3</v>
      </c>
      <c r="R47" s="34" t="n">
        <f aca="false">SUM(E47:Q47)</f>
        <v>1237.1</v>
      </c>
    </row>
    <row r="48" customFormat="false" ht="15" hidden="false" customHeight="false" outlineLevel="0" collapsed="false">
      <c r="B48" s="26" t="s">
        <v>280</v>
      </c>
      <c r="C48" s="27" t="s">
        <v>281</v>
      </c>
      <c r="D48" s="32" t="str">
        <f aca="false">INDEX('Chart of Accounts'!$D$7:$D$60,MATCH($B48,'Chart of Accounts'!$B$7:$B$60,0))</f>
        <v>Personnel - commercial</v>
      </c>
      <c r="E48" s="33" t="n">
        <v>0</v>
      </c>
      <c r="F48" s="33" t="n">
        <v>172.4</v>
      </c>
      <c r="G48" s="33" t="n">
        <v>172.4</v>
      </c>
      <c r="H48" s="33" t="n">
        <v>172.4</v>
      </c>
      <c r="I48" s="33" t="n">
        <v>172.4</v>
      </c>
      <c r="J48" s="33" t="n">
        <v>172.4</v>
      </c>
      <c r="K48" s="33" t="n">
        <v>172.4</v>
      </c>
      <c r="L48" s="33" t="n">
        <v>172.4</v>
      </c>
      <c r="M48" s="33" t="n">
        <v>172.4</v>
      </c>
      <c r="N48" s="33" t="n">
        <v>172.4</v>
      </c>
      <c r="O48" s="33" t="n">
        <v>172.4</v>
      </c>
      <c r="P48" s="33" t="n">
        <v>172.4</v>
      </c>
      <c r="Q48" s="33" t="n">
        <v>293.1</v>
      </c>
      <c r="R48" s="34" t="n">
        <f aca="false">SUM(E48:Q48)</f>
        <v>2189.5</v>
      </c>
    </row>
    <row r="49" customFormat="false" ht="15" hidden="false" customHeight="false" outlineLevel="0" collapsed="false">
      <c r="B49" s="26" t="s">
        <v>283</v>
      </c>
      <c r="C49" s="27" t="s">
        <v>284</v>
      </c>
      <c r="D49" s="32" t="str">
        <f aca="false">INDEX('Chart of Accounts'!$D$7:$D$60,MATCH($B49,'Chart of Accounts'!$B$7:$B$60,0))</f>
        <v>Personnel - G&amp;A</v>
      </c>
      <c r="E49" s="33" t="n">
        <v>0</v>
      </c>
      <c r="F49" s="33" t="n">
        <v>91.3</v>
      </c>
      <c r="G49" s="33" t="n">
        <v>91.3</v>
      </c>
      <c r="H49" s="33" t="n">
        <v>91.3</v>
      </c>
      <c r="I49" s="33" t="n">
        <v>91.3</v>
      </c>
      <c r="J49" s="33" t="n">
        <v>91.3</v>
      </c>
      <c r="K49" s="33" t="n">
        <v>91.3</v>
      </c>
      <c r="L49" s="33" t="n">
        <v>91.3</v>
      </c>
      <c r="M49" s="33" t="n">
        <v>91.3</v>
      </c>
      <c r="N49" s="33" t="n">
        <v>91.3</v>
      </c>
      <c r="O49" s="33" t="n">
        <v>91.3</v>
      </c>
      <c r="P49" s="33" t="n">
        <v>91.3</v>
      </c>
      <c r="Q49" s="33" t="n">
        <v>155.3</v>
      </c>
      <c r="R49" s="34" t="n">
        <f aca="false">SUM(E49:Q49)</f>
        <v>1159.6</v>
      </c>
    </row>
    <row r="50" customFormat="false" ht="15" hidden="false" customHeight="false" outlineLevel="0" collapsed="false">
      <c r="B50" s="26" t="s">
        <v>286</v>
      </c>
      <c r="C50" s="27" t="s">
        <v>287</v>
      </c>
      <c r="D50" s="32" t="str">
        <f aca="false">INDEX('Chart of Accounts'!$D$7:$D$60,MATCH($B50,'Chart of Accounts'!$B$7:$B$60,0))</f>
        <v>IT &amp; software</v>
      </c>
      <c r="E50" s="33" t="n">
        <v>0</v>
      </c>
      <c r="F50" s="33" t="n">
        <v>30</v>
      </c>
      <c r="G50" s="33" t="n">
        <v>30</v>
      </c>
      <c r="H50" s="33" t="n">
        <v>30</v>
      </c>
      <c r="I50" s="33" t="n">
        <v>30</v>
      </c>
      <c r="J50" s="33" t="n">
        <v>30</v>
      </c>
      <c r="K50" s="33" t="n">
        <v>30</v>
      </c>
      <c r="L50" s="33" t="n">
        <v>30</v>
      </c>
      <c r="M50" s="33" t="n">
        <v>30</v>
      </c>
      <c r="N50" s="33" t="n">
        <v>30</v>
      </c>
      <c r="O50" s="33" t="n">
        <v>30</v>
      </c>
      <c r="P50" s="33" t="n">
        <v>30</v>
      </c>
      <c r="Q50" s="33" t="n">
        <v>30</v>
      </c>
      <c r="R50" s="34" t="n">
        <f aca="false">SUM(E50:Q50)</f>
        <v>360</v>
      </c>
    </row>
    <row r="51" customFormat="false" ht="15" hidden="false" customHeight="false" outlineLevel="0" collapsed="false">
      <c r="B51" s="26" t="s">
        <v>289</v>
      </c>
      <c r="C51" s="27" t="s">
        <v>290</v>
      </c>
      <c r="D51" s="32" t="str">
        <f aca="false">INDEX('Chart of Accounts'!$D$7:$D$60,MATCH($B51,'Chart of Accounts'!$B$7:$B$60,0))</f>
        <v>Professional fees</v>
      </c>
      <c r="E51" s="33" t="n">
        <v>0</v>
      </c>
      <c r="F51" s="33" t="n">
        <v>19.2</v>
      </c>
      <c r="G51" s="33" t="n">
        <v>44.8</v>
      </c>
      <c r="H51" s="33" t="n">
        <v>51.2</v>
      </c>
      <c r="I51" s="33" t="n">
        <v>25.6</v>
      </c>
      <c r="J51" s="33" t="n">
        <v>19.2</v>
      </c>
      <c r="K51" s="33" t="n">
        <v>19.2</v>
      </c>
      <c r="L51" s="33" t="n">
        <v>16</v>
      </c>
      <c r="M51" s="33" t="n">
        <v>16</v>
      </c>
      <c r="N51" s="33" t="n">
        <v>22.4</v>
      </c>
      <c r="O51" s="33" t="n">
        <v>25.6</v>
      </c>
      <c r="P51" s="33" t="n">
        <v>28.8</v>
      </c>
      <c r="Q51" s="33" t="n">
        <v>32</v>
      </c>
      <c r="R51" s="34" t="n">
        <f aca="false">SUM(E51:Q51)</f>
        <v>320</v>
      </c>
    </row>
    <row r="52" customFormat="false" ht="15" hidden="false" customHeight="false" outlineLevel="0" collapsed="false">
      <c r="B52" s="26" t="s">
        <v>292</v>
      </c>
      <c r="C52" s="27" t="s">
        <v>293</v>
      </c>
      <c r="D52" s="32" t="str">
        <f aca="false">INDEX('Chart of Accounts'!$D$7:$D$60,MATCH($B52,'Chart of Accounts'!$B$7:$B$60,0))</f>
        <v>Facilities &amp; other overheads</v>
      </c>
      <c r="E52" s="33" t="n">
        <v>0</v>
      </c>
      <c r="F52" s="33" t="n">
        <v>30</v>
      </c>
      <c r="G52" s="33" t="n">
        <v>30</v>
      </c>
      <c r="H52" s="33" t="n">
        <v>30</v>
      </c>
      <c r="I52" s="33" t="n">
        <v>30</v>
      </c>
      <c r="J52" s="33" t="n">
        <v>30</v>
      </c>
      <c r="K52" s="33" t="n">
        <v>30</v>
      </c>
      <c r="L52" s="33" t="n">
        <v>30</v>
      </c>
      <c r="M52" s="33" t="n">
        <v>30</v>
      </c>
      <c r="N52" s="33" t="n">
        <v>30</v>
      </c>
      <c r="O52" s="33" t="n">
        <v>30</v>
      </c>
      <c r="P52" s="33" t="n">
        <v>30</v>
      </c>
      <c r="Q52" s="33" t="n">
        <v>30</v>
      </c>
      <c r="R52" s="34" t="n">
        <f aca="false">SUM(E52:Q52)</f>
        <v>360</v>
      </c>
    </row>
    <row r="53" customFormat="false" ht="15" hidden="false" customHeight="false" outlineLevel="0" collapsed="false">
      <c r="B53" s="26" t="s">
        <v>295</v>
      </c>
      <c r="C53" s="27" t="s">
        <v>296</v>
      </c>
      <c r="D53" s="32" t="str">
        <f aca="false">INDEX('Chart of Accounts'!$D$7:$D$60,MATCH($B53,'Chart of Accounts'!$B$7:$B$60,0))</f>
        <v>Depreciation - PP&amp;E</v>
      </c>
      <c r="E53" s="33" t="n">
        <v>0</v>
      </c>
      <c r="F53" s="33" t="n">
        <v>20.5</v>
      </c>
      <c r="G53" s="33" t="n">
        <v>20.5</v>
      </c>
      <c r="H53" s="33" t="n">
        <v>20.5</v>
      </c>
      <c r="I53" s="33" t="n">
        <v>20.5</v>
      </c>
      <c r="J53" s="33" t="n">
        <v>20.5</v>
      </c>
      <c r="K53" s="33" t="n">
        <v>20.5</v>
      </c>
      <c r="L53" s="33" t="n">
        <v>20.5</v>
      </c>
      <c r="M53" s="33" t="n">
        <v>20.5</v>
      </c>
      <c r="N53" s="33" t="n">
        <v>20.5</v>
      </c>
      <c r="O53" s="33" t="n">
        <v>20.5</v>
      </c>
      <c r="P53" s="33" t="n">
        <v>20.5</v>
      </c>
      <c r="Q53" s="33" t="n">
        <v>20.5</v>
      </c>
      <c r="R53" s="34" t="n">
        <f aca="false">SUM(E53:Q53)</f>
        <v>246</v>
      </c>
    </row>
    <row r="54" customFormat="false" ht="15" hidden="false" customHeight="false" outlineLevel="0" collapsed="false">
      <c r="B54" s="26" t="s">
        <v>299</v>
      </c>
      <c r="C54" s="27" t="s">
        <v>300</v>
      </c>
      <c r="D54" s="32" t="str">
        <f aca="false">INDEX('Chart of Accounts'!$D$7:$D$60,MATCH($B54,'Chart of Accounts'!$B$7:$B$60,0))</f>
        <v>Depreciation - right-of-use assets</v>
      </c>
      <c r="E54" s="33" t="n">
        <v>0</v>
      </c>
      <c r="F54" s="33" t="n">
        <v>43.5</v>
      </c>
      <c r="G54" s="33" t="n">
        <v>43.5</v>
      </c>
      <c r="H54" s="33" t="n">
        <v>43.5</v>
      </c>
      <c r="I54" s="33" t="n">
        <v>43.5</v>
      </c>
      <c r="J54" s="33" t="n">
        <v>43.5</v>
      </c>
      <c r="K54" s="33" t="n">
        <v>43.5</v>
      </c>
      <c r="L54" s="33" t="n">
        <v>43.5</v>
      </c>
      <c r="M54" s="33" t="n">
        <v>43.5</v>
      </c>
      <c r="N54" s="33" t="n">
        <v>43.5</v>
      </c>
      <c r="O54" s="33" t="n">
        <v>43.5</v>
      </c>
      <c r="P54" s="33" t="n">
        <v>43.5</v>
      </c>
      <c r="Q54" s="33" t="n">
        <v>43.5</v>
      </c>
      <c r="R54" s="34" t="n">
        <f aca="false">SUM(E54:Q54)</f>
        <v>522</v>
      </c>
    </row>
    <row r="55" customFormat="false" ht="15" hidden="false" customHeight="false" outlineLevel="0" collapsed="false">
      <c r="B55" s="26" t="s">
        <v>301</v>
      </c>
      <c r="C55" s="27" t="s">
        <v>302</v>
      </c>
      <c r="D55" s="32" t="str">
        <f aca="false">INDEX('Chart of Accounts'!$D$7:$D$60,MATCH($B55,'Chart of Accounts'!$B$7:$B$60,0))</f>
        <v>Amortisation - intangibles</v>
      </c>
      <c r="E55" s="33" t="n">
        <v>0</v>
      </c>
      <c r="F55" s="33" t="n">
        <v>25.8</v>
      </c>
      <c r="G55" s="33" t="n">
        <v>25.8</v>
      </c>
      <c r="H55" s="33" t="n">
        <v>25.8</v>
      </c>
      <c r="I55" s="33" t="n">
        <v>25.8</v>
      </c>
      <c r="J55" s="33" t="n">
        <v>25.8</v>
      </c>
      <c r="K55" s="33" t="n">
        <v>25.8</v>
      </c>
      <c r="L55" s="33" t="n">
        <v>25.8</v>
      </c>
      <c r="M55" s="33" t="n">
        <v>25.8</v>
      </c>
      <c r="N55" s="33" t="n">
        <v>25.8</v>
      </c>
      <c r="O55" s="33" t="n">
        <v>25.8</v>
      </c>
      <c r="P55" s="33" t="n">
        <v>25.8</v>
      </c>
      <c r="Q55" s="33" t="n">
        <v>25.8</v>
      </c>
      <c r="R55" s="34" t="n">
        <f aca="false">SUM(E55:Q55)</f>
        <v>309.6</v>
      </c>
    </row>
    <row r="56" customFormat="false" ht="15" hidden="false" customHeight="false" outlineLevel="0" collapsed="false">
      <c r="B56" s="26" t="s">
        <v>304</v>
      </c>
      <c r="C56" s="27" t="s">
        <v>305</v>
      </c>
      <c r="D56" s="32" t="str">
        <f aca="false">INDEX('Chart of Accounts'!$D$7:$D$60,MATCH($B56,'Chart of Accounts'!$B$7:$B$60,0))</f>
        <v>Interest expense - borrowings</v>
      </c>
      <c r="E56" s="33" t="n">
        <v>0</v>
      </c>
      <c r="F56" s="33" t="n">
        <v>13</v>
      </c>
      <c r="G56" s="33" t="n">
        <v>13</v>
      </c>
      <c r="H56" s="33" t="n">
        <v>13</v>
      </c>
      <c r="I56" s="33" t="n">
        <v>11.9</v>
      </c>
      <c r="J56" s="33" t="n">
        <v>11.9</v>
      </c>
      <c r="K56" s="33" t="n">
        <v>11.9</v>
      </c>
      <c r="L56" s="33" t="n">
        <v>10.8</v>
      </c>
      <c r="M56" s="33" t="n">
        <v>10.8</v>
      </c>
      <c r="N56" s="33" t="n">
        <v>10.8</v>
      </c>
      <c r="O56" s="33" t="n">
        <v>9.8</v>
      </c>
      <c r="P56" s="33" t="n">
        <v>9.8</v>
      </c>
      <c r="Q56" s="33" t="n">
        <v>9.8</v>
      </c>
      <c r="R56" s="34" t="n">
        <f aca="false">SUM(E56:Q56)</f>
        <v>136.5</v>
      </c>
    </row>
    <row r="57" customFormat="false" ht="15" hidden="false" customHeight="false" outlineLevel="0" collapsed="false">
      <c r="B57" s="26" t="s">
        <v>308</v>
      </c>
      <c r="C57" s="27" t="s">
        <v>309</v>
      </c>
      <c r="D57" s="32" t="str">
        <f aca="false">INDEX('Chart of Accounts'!$D$7:$D$60,MATCH($B57,'Chart of Accounts'!$B$7:$B$60,0))</f>
        <v>Interest expense - leases</v>
      </c>
      <c r="E57" s="33" t="n">
        <v>0</v>
      </c>
      <c r="F57" s="33" t="n">
        <v>10.6</v>
      </c>
      <c r="G57" s="33" t="n">
        <v>10.3</v>
      </c>
      <c r="H57" s="33" t="n">
        <v>10.1</v>
      </c>
      <c r="I57" s="33" t="n">
        <v>9.9</v>
      </c>
      <c r="J57" s="33" t="n">
        <v>9.6</v>
      </c>
      <c r="K57" s="33" t="n">
        <v>9.4</v>
      </c>
      <c r="L57" s="33" t="n">
        <v>9.2</v>
      </c>
      <c r="M57" s="33" t="n">
        <v>8.9</v>
      </c>
      <c r="N57" s="33" t="n">
        <v>8.7</v>
      </c>
      <c r="O57" s="33" t="n">
        <v>8.5</v>
      </c>
      <c r="P57" s="33" t="n">
        <v>8.2</v>
      </c>
      <c r="Q57" s="33" t="n">
        <v>8</v>
      </c>
      <c r="R57" s="34" t="n">
        <f aca="false">SUM(E57:Q57)</f>
        <v>111.4</v>
      </c>
    </row>
    <row r="58" customFormat="false" ht="15" hidden="false" customHeight="false" outlineLevel="0" collapsed="false">
      <c r="B58" s="26" t="s">
        <v>311</v>
      </c>
      <c r="C58" s="27" t="s">
        <v>312</v>
      </c>
      <c r="D58" s="32" t="str">
        <f aca="false">INDEX('Chart of Accounts'!$D$7:$D$60,MATCH($B58,'Chart of Accounts'!$B$7:$B$60,0))</f>
        <v>Foreign exchange result, net</v>
      </c>
      <c r="E58" s="33" t="n">
        <v>0</v>
      </c>
      <c r="F58" s="33" t="n">
        <v>3.3</v>
      </c>
      <c r="G58" s="33" t="n">
        <v>3.3</v>
      </c>
      <c r="H58" s="33" t="n">
        <v>3.3</v>
      </c>
      <c r="I58" s="33" t="n">
        <v>3.3</v>
      </c>
      <c r="J58" s="33" t="n">
        <v>3.3</v>
      </c>
      <c r="K58" s="33" t="n">
        <v>3.3</v>
      </c>
      <c r="L58" s="33" t="n">
        <v>3.3</v>
      </c>
      <c r="M58" s="33" t="n">
        <v>3.3</v>
      </c>
      <c r="N58" s="33" t="n">
        <v>3.3</v>
      </c>
      <c r="O58" s="33" t="n">
        <v>3.3</v>
      </c>
      <c r="P58" s="33" t="n">
        <v>3.3</v>
      </c>
      <c r="Q58" s="33" t="n">
        <v>3.3</v>
      </c>
      <c r="R58" s="34" t="n">
        <f aca="false">SUM(E58:Q58)</f>
        <v>39.6</v>
      </c>
    </row>
    <row r="59" customFormat="false" ht="15" hidden="false" customHeight="false" outlineLevel="0" collapsed="false">
      <c r="B59" s="26" t="s">
        <v>313</v>
      </c>
      <c r="C59" s="27" t="s">
        <v>314</v>
      </c>
      <c r="D59" s="32" t="str">
        <f aca="false">INDEX('Chart of Accounts'!$D$7:$D$60,MATCH($B59,'Chart of Accounts'!$B$7:$B$60,0))</f>
        <v>Current income tax</v>
      </c>
      <c r="E59" s="33" t="n">
        <v>0</v>
      </c>
      <c r="F59" s="33" t="n">
        <v>45.7</v>
      </c>
      <c r="G59" s="33" t="n">
        <v>40.1</v>
      </c>
      <c r="H59" s="33" t="n">
        <v>35.1</v>
      </c>
      <c r="I59" s="33" t="n">
        <v>27.2</v>
      </c>
      <c r="J59" s="33" t="n">
        <v>21.6</v>
      </c>
      <c r="K59" s="33" t="n">
        <v>16.4</v>
      </c>
      <c r="L59" s="33" t="n">
        <v>11.7</v>
      </c>
      <c r="M59" s="33" t="n">
        <v>16.5</v>
      </c>
      <c r="N59" s="33" t="n">
        <v>30</v>
      </c>
      <c r="O59" s="33" t="n">
        <v>41.3</v>
      </c>
      <c r="P59" s="33" t="n">
        <v>47.7</v>
      </c>
      <c r="Q59" s="33" t="n">
        <v>14</v>
      </c>
      <c r="R59" s="34" t="n">
        <f aca="false">SUM(E59:Q59)</f>
        <v>347.3</v>
      </c>
    </row>
    <row r="60" customFormat="false" ht="15" hidden="false" customHeight="false" outlineLevel="0" collapsed="false">
      <c r="B60" s="26" t="s">
        <v>317</v>
      </c>
      <c r="C60" s="27" t="s">
        <v>318</v>
      </c>
      <c r="D60" s="32" t="str">
        <f aca="false">INDEX('Chart of Accounts'!$D$7:$D$60,MATCH($B60,'Chart of Accounts'!$B$7:$B$60,0))</f>
        <v>Deferred income tax</v>
      </c>
      <c r="E60" s="33" t="n">
        <v>0</v>
      </c>
      <c r="F60" s="33" t="n">
        <v>-2.1</v>
      </c>
      <c r="G60" s="33" t="n">
        <v>-2.1</v>
      </c>
      <c r="H60" s="33" t="n">
        <v>-2.1</v>
      </c>
      <c r="I60" s="33" t="n">
        <v>-2.1</v>
      </c>
      <c r="J60" s="33" t="n">
        <v>-2.1</v>
      </c>
      <c r="K60" s="33" t="n">
        <v>-2.1</v>
      </c>
      <c r="L60" s="33" t="n">
        <v>-2.1</v>
      </c>
      <c r="M60" s="33" t="n">
        <v>-2.1</v>
      </c>
      <c r="N60" s="33" t="n">
        <v>-2.1</v>
      </c>
      <c r="O60" s="33" t="n">
        <v>-2.1</v>
      </c>
      <c r="P60" s="33" t="n">
        <v>-2.1</v>
      </c>
      <c r="Q60" s="33" t="n">
        <v>-2.1</v>
      </c>
      <c r="R60" s="34" t="n">
        <f aca="false">SUM(E60:Q60)</f>
        <v>-25.2</v>
      </c>
    </row>
    <row r="62" customFormat="false" ht="15" hidden="false" customHeight="false" outlineLevel="0" collapsed="false">
      <c r="C62" s="6" t="s">
        <v>326</v>
      </c>
      <c r="E62" s="35" t="n">
        <f aca="false">SUM(E7:E60)</f>
        <v>0</v>
      </c>
      <c r="F62" s="35" t="n">
        <f aca="false">SUM(F7:F60)</f>
        <v>-2.54907206453936E-013</v>
      </c>
      <c r="G62" s="35" t="n">
        <f aca="false">SUM(G7:G60)</f>
        <v>4.17443857259059E-014</v>
      </c>
      <c r="H62" s="35" t="n">
        <f aca="false">SUM(H7:H60)</f>
        <v>3.61488616817951E-013</v>
      </c>
      <c r="I62" s="35" t="n">
        <f aca="false">SUM(I7:I60)</f>
        <v>2.39808173319034E-014</v>
      </c>
      <c r="J62" s="35" t="n">
        <f aca="false">SUM(J7:J60)</f>
        <v>3.10862446895044E-014</v>
      </c>
      <c r="K62" s="35" t="n">
        <f aca="false">SUM(K7:K60)</f>
        <v>4.52970994047064E-014</v>
      </c>
      <c r="L62" s="35" t="n">
        <f aca="false">SUM(L7:L60)</f>
        <v>-2.1049828546893E-013</v>
      </c>
      <c r="M62" s="35" t="n">
        <f aca="false">SUM(M7:M60)</f>
        <v>5.41788836017076E-014</v>
      </c>
      <c r="N62" s="35" t="n">
        <f aca="false">SUM(N7:N60)</f>
        <v>3.18856052672345E-013</v>
      </c>
      <c r="O62" s="35" t="n">
        <f aca="false">SUM(O7:O60)</f>
        <v>-3.88133969408955E-013</v>
      </c>
      <c r="P62" s="35" t="n">
        <f aca="false">SUM(P7:P60)</f>
        <v>-1.33226762955019E-014</v>
      </c>
      <c r="Q62" s="35" t="n">
        <f aca="false">SUM(Q7:Q60)</f>
        <v>1.66089364483923E-013</v>
      </c>
      <c r="R62" s="35" t="n">
        <f aca="false">SUM(R7:R60)</f>
        <v>2.8279600883252E-012</v>
      </c>
    </row>
    <row r="64" customFormat="false" ht="15" hidden="false" customHeight="false" outlineLevel="0" collapsed="false">
      <c r="C64" s="13" t="s">
        <v>327</v>
      </c>
    </row>
    <row r="65" customFormat="false" ht="15" hidden="false" customHeight="false" outlineLevel="0" collapsed="false">
      <c r="C65" s="13" t="s">
        <v>328</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552"/>
    <pageSetUpPr fitToPage="true"/>
  </sheetPr>
  <dimension ref="A1:O5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8"/>
    <col collapsed="false" customWidth="true" hidden="false" outlineLevel="0" max="15" min="3" style="0" width="10.51"/>
  </cols>
  <sheetData>
    <row r="1" customFormat="false" ht="15" hidden="false" customHeight="false" outlineLevel="0" collapsed="false">
      <c r="A1" s="11" t="s">
        <v>0</v>
      </c>
    </row>
    <row r="2" customFormat="false" ht="19.7" hidden="false" customHeight="false" outlineLevel="0" collapsed="false">
      <c r="A2" s="12" t="s">
        <v>330</v>
      </c>
    </row>
    <row r="3" customFormat="false" ht="15" hidden="false" customHeight="false" outlineLevel="0" collapsed="false">
      <c r="A3" s="13" t="s">
        <v>331</v>
      </c>
    </row>
    <row r="6" customFormat="false" ht="15" hidden="false" customHeight="false" outlineLevel="0" collapsed="false">
      <c r="B6" s="15"/>
      <c r="C6" s="15" t="s">
        <v>154</v>
      </c>
      <c r="D6" s="15" t="s">
        <v>155</v>
      </c>
      <c r="E6" s="15" t="s">
        <v>156</v>
      </c>
      <c r="F6" s="15" t="s">
        <v>157</v>
      </c>
      <c r="G6" s="15" t="s">
        <v>158</v>
      </c>
      <c r="H6" s="15" t="s">
        <v>159</v>
      </c>
      <c r="I6" s="15" t="s">
        <v>160</v>
      </c>
      <c r="J6" s="15" t="s">
        <v>161</v>
      </c>
      <c r="K6" s="15" t="s">
        <v>162</v>
      </c>
      <c r="L6" s="15" t="s">
        <v>163</v>
      </c>
      <c r="M6" s="15" t="s">
        <v>164</v>
      </c>
      <c r="N6" s="15" t="s">
        <v>165</v>
      </c>
      <c r="O6" s="15" t="s">
        <v>332</v>
      </c>
    </row>
    <row r="8" customFormat="false" ht="15" hidden="false" customHeight="false" outlineLevel="0" collapsed="false">
      <c r="B8" s="11" t="s">
        <v>333</v>
      </c>
    </row>
    <row r="9" customFormat="false" ht="15" hidden="false" customHeight="false" outlineLevel="0" collapsed="false">
      <c r="B9" s="36" t="s">
        <v>251</v>
      </c>
      <c r="C9" s="37" t="n">
        <f aca="false">-SUMIFS('TB Actual'!F$7:F$60,'TB Actual'!$D$7:$D$60,$B9)</f>
        <v>4051.3</v>
      </c>
      <c r="D9" s="37" t="n">
        <f aca="false">-SUMIFS('TB Actual'!G$7:G$60,'TB Actual'!$D$7:$D$60,$B9)</f>
        <v>3845.3</v>
      </c>
      <c r="E9" s="37" t="n">
        <f aca="false">-SUMIFS('TB Actual'!H$7:H$60,'TB Actual'!$D$7:$D$60,$B9)</f>
        <v>3605</v>
      </c>
      <c r="F9" s="37" t="n">
        <f aca="false">-SUMIFS('TB Actual'!I$7:I$60,'TB Actual'!$D$7:$D$60,$B9)</f>
        <v>3158.7</v>
      </c>
      <c r="G9" s="37" t="n">
        <f aca="false">-SUMIFS('TB Actual'!J$7:J$60,'TB Actual'!$D$7:$D$60,$B9)</f>
        <v>2918.4</v>
      </c>
      <c r="H9" s="37" t="n">
        <f aca="false">-SUMIFS('TB Actual'!K$7:K$60,'TB Actual'!$D$7:$D$60,$B9)</f>
        <v>2678</v>
      </c>
      <c r="I9" s="37" t="n">
        <f aca="false">-SUMIFS('TB Actual'!L$7:L$60,'TB Actual'!$D$7:$D$60,$B9)</f>
        <v>2472</v>
      </c>
      <c r="J9" s="37" t="n">
        <f aca="false">-SUMIFS('TB Actual'!M$7:M$60,'TB Actual'!$D$7:$D$60,$B9)</f>
        <v>2746.6</v>
      </c>
      <c r="K9" s="37" t="n">
        <f aca="false">-SUMIFS('TB Actual'!N$7:N$60,'TB Actual'!$D$7:$D$60,$B9)</f>
        <v>3502.1</v>
      </c>
      <c r="L9" s="37" t="n">
        <f aca="false">-SUMIFS('TB Actual'!O$7:O$60,'TB Actual'!$D$7:$D$60,$B9)</f>
        <v>4120.1</v>
      </c>
      <c r="M9" s="37" t="n">
        <f aca="false">-SUMIFS('TB Actual'!P$7:P$60,'TB Actual'!$D$7:$D$60,$B9)</f>
        <v>4291.7</v>
      </c>
      <c r="N9" s="37" t="n">
        <f aca="false">-SUMIFS('TB Actual'!Q$7:Q$60,'TB Actual'!$D$7:$D$60,$B9)</f>
        <v>3811</v>
      </c>
      <c r="O9" s="38" t="n">
        <f aca="false">SUM(C9:N9)</f>
        <v>41200.2</v>
      </c>
    </row>
    <row r="10" customFormat="false" ht="15" hidden="false" customHeight="false" outlineLevel="0" collapsed="false">
      <c r="B10" s="36" t="s">
        <v>86</v>
      </c>
      <c r="C10" s="37" t="n">
        <f aca="false">-SUMIFS('TB Actual'!F$7:F$60,'TB Actual'!$D$7:$D$60,$B10)</f>
        <v>-129.6</v>
      </c>
      <c r="D10" s="37" t="n">
        <f aca="false">-SUMIFS('TB Actual'!G$7:G$60,'TB Actual'!$D$7:$D$60,$B10)</f>
        <v>-123.1</v>
      </c>
      <c r="E10" s="37" t="n">
        <f aca="false">-SUMIFS('TB Actual'!H$7:H$60,'TB Actual'!$D$7:$D$60,$B10)</f>
        <v>-115.4</v>
      </c>
      <c r="F10" s="37" t="n">
        <f aca="false">-SUMIFS('TB Actual'!I$7:I$60,'TB Actual'!$D$7:$D$60,$B10)</f>
        <v>-101.1</v>
      </c>
      <c r="G10" s="37" t="n">
        <f aca="false">-SUMIFS('TB Actual'!J$7:J$60,'TB Actual'!$D$7:$D$60,$B10)</f>
        <v>-93.4</v>
      </c>
      <c r="H10" s="37" t="n">
        <f aca="false">-SUMIFS('TB Actual'!K$7:K$60,'TB Actual'!$D$7:$D$60,$B10)</f>
        <v>-85.7</v>
      </c>
      <c r="I10" s="37" t="n">
        <f aca="false">-SUMIFS('TB Actual'!L$7:L$60,'TB Actual'!$D$7:$D$60,$B10)</f>
        <v>-79.1</v>
      </c>
      <c r="J10" s="37" t="n">
        <f aca="false">-SUMIFS('TB Actual'!M$7:M$60,'TB Actual'!$D$7:$D$60,$B10)</f>
        <v>-87.9</v>
      </c>
      <c r="K10" s="37" t="n">
        <f aca="false">-SUMIFS('TB Actual'!N$7:N$60,'TB Actual'!$D$7:$D$60,$B10)</f>
        <v>-112.1</v>
      </c>
      <c r="L10" s="37" t="n">
        <f aca="false">-SUMIFS('TB Actual'!O$7:O$60,'TB Actual'!$D$7:$D$60,$B10)</f>
        <v>-131.8</v>
      </c>
      <c r="M10" s="37" t="n">
        <f aca="false">-SUMIFS('TB Actual'!P$7:P$60,'TB Actual'!$D$7:$D$60,$B10)</f>
        <v>-137.3</v>
      </c>
      <c r="N10" s="37" t="n">
        <f aca="false">-SUMIFS('TB Actual'!Q$7:Q$60,'TB Actual'!$D$7:$D$60,$B10)</f>
        <v>-122</v>
      </c>
      <c r="O10" s="38" t="n">
        <f aca="false">SUM(C10:N10)</f>
        <v>-1318.5</v>
      </c>
    </row>
    <row r="11" customFormat="false" ht="15" hidden="false" customHeight="false" outlineLevel="0" collapsed="false">
      <c r="B11" s="36" t="s">
        <v>260</v>
      </c>
      <c r="C11" s="37" t="n">
        <f aca="false">-SUMIFS('TB Actual'!F$7:F$60,'TB Actual'!$D$7:$D$60,$B11)</f>
        <v>-158</v>
      </c>
      <c r="D11" s="37" t="n">
        <f aca="false">-SUMIFS('TB Actual'!G$7:G$60,'TB Actual'!$D$7:$D$60,$B11)</f>
        <v>-150</v>
      </c>
      <c r="E11" s="37" t="n">
        <f aca="false">-SUMIFS('TB Actual'!H$7:H$60,'TB Actual'!$D$7:$D$60,$B11)</f>
        <v>-140.6</v>
      </c>
      <c r="F11" s="37" t="n">
        <f aca="false">-SUMIFS('TB Actual'!I$7:I$60,'TB Actual'!$D$7:$D$60,$B11)</f>
        <v>-123.2</v>
      </c>
      <c r="G11" s="37" t="n">
        <f aca="false">-SUMIFS('TB Actual'!J$7:J$60,'TB Actual'!$D$7:$D$60,$B11)</f>
        <v>-113.8</v>
      </c>
      <c r="H11" s="37" t="n">
        <f aca="false">-SUMIFS('TB Actual'!K$7:K$60,'TB Actual'!$D$7:$D$60,$B11)</f>
        <v>-121.8</v>
      </c>
      <c r="I11" s="37" t="n">
        <f aca="false">-SUMIFS('TB Actual'!L$7:L$60,'TB Actual'!$D$7:$D$60,$B11)</f>
        <v>-112.5</v>
      </c>
      <c r="J11" s="37" t="n">
        <f aca="false">-SUMIFS('TB Actual'!M$7:M$60,'TB Actual'!$D$7:$D$60,$B11)</f>
        <v>-125</v>
      </c>
      <c r="K11" s="37" t="n">
        <f aca="false">-SUMIFS('TB Actual'!N$7:N$60,'TB Actual'!$D$7:$D$60,$B11)</f>
        <v>-159.3</v>
      </c>
      <c r="L11" s="37" t="n">
        <f aca="false">-SUMIFS('TB Actual'!O$7:O$60,'TB Actual'!$D$7:$D$60,$B11)</f>
        <v>-187.5</v>
      </c>
      <c r="M11" s="37" t="n">
        <f aca="false">-SUMIFS('TB Actual'!P$7:P$60,'TB Actual'!$D$7:$D$60,$B11)</f>
        <v>-195.3</v>
      </c>
      <c r="N11" s="37" t="n">
        <f aca="false">-SUMIFS('TB Actual'!Q$7:Q$60,'TB Actual'!$D$7:$D$60,$B11)</f>
        <v>-173.4</v>
      </c>
      <c r="O11" s="38" t="n">
        <f aca="false">SUM(C11:N11)</f>
        <v>-1760.4</v>
      </c>
    </row>
    <row r="12" customFormat="false" ht="15" hidden="false" customHeight="false" outlineLevel="0" collapsed="false">
      <c r="B12" s="36" t="s">
        <v>93</v>
      </c>
      <c r="C12" s="37" t="n">
        <f aca="false">-SUMIFS('TB Actual'!F$7:F$60,'TB Actual'!$D$7:$D$60,$B12)</f>
        <v>-36.5</v>
      </c>
      <c r="D12" s="37" t="n">
        <f aca="false">-SUMIFS('TB Actual'!G$7:G$60,'TB Actual'!$D$7:$D$60,$B12)</f>
        <v>-34.6</v>
      </c>
      <c r="E12" s="37" t="n">
        <f aca="false">-SUMIFS('TB Actual'!H$7:H$60,'TB Actual'!$D$7:$D$60,$B12)</f>
        <v>-32.4</v>
      </c>
      <c r="F12" s="37" t="n">
        <f aca="false">-SUMIFS('TB Actual'!I$7:I$60,'TB Actual'!$D$7:$D$60,$B12)</f>
        <v>-28.4</v>
      </c>
      <c r="G12" s="37" t="n">
        <f aca="false">-SUMIFS('TB Actual'!J$7:J$60,'TB Actual'!$D$7:$D$60,$B12)</f>
        <v>-26.3</v>
      </c>
      <c r="H12" s="37" t="n">
        <f aca="false">-SUMIFS('TB Actual'!K$7:K$60,'TB Actual'!$D$7:$D$60,$B12)</f>
        <v>-24.1</v>
      </c>
      <c r="I12" s="37" t="n">
        <f aca="false">-SUMIFS('TB Actual'!L$7:L$60,'TB Actual'!$D$7:$D$60,$B12)</f>
        <v>-22.2</v>
      </c>
      <c r="J12" s="37" t="n">
        <f aca="false">-SUMIFS('TB Actual'!M$7:M$60,'TB Actual'!$D$7:$D$60,$B12)</f>
        <v>-24.7</v>
      </c>
      <c r="K12" s="37" t="n">
        <f aca="false">-SUMIFS('TB Actual'!N$7:N$60,'TB Actual'!$D$7:$D$60,$B12)</f>
        <v>-31.5</v>
      </c>
      <c r="L12" s="37" t="n">
        <f aca="false">-SUMIFS('TB Actual'!O$7:O$60,'TB Actual'!$D$7:$D$60,$B12)</f>
        <v>-37.1</v>
      </c>
      <c r="M12" s="37" t="n">
        <f aca="false">-SUMIFS('TB Actual'!P$7:P$60,'TB Actual'!$D$7:$D$60,$B12)</f>
        <v>-38.6</v>
      </c>
      <c r="N12" s="37" t="n">
        <f aca="false">-SUMIFS('TB Actual'!Q$7:Q$60,'TB Actual'!$D$7:$D$60,$B12)</f>
        <v>-34.3</v>
      </c>
      <c r="O12" s="38" t="n">
        <f aca="false">SUM(C12:N12)</f>
        <v>-370.7</v>
      </c>
    </row>
    <row r="13" customFormat="false" ht="15" hidden="false" customHeight="false" outlineLevel="0" collapsed="false">
      <c r="B13" s="39" t="s">
        <v>334</v>
      </c>
      <c r="C13" s="40" t="n">
        <f aca="false">SUM(C9:C12)</f>
        <v>3727.2</v>
      </c>
      <c r="D13" s="40" t="n">
        <f aca="false">SUM(D9:D12)</f>
        <v>3537.6</v>
      </c>
      <c r="E13" s="40" t="n">
        <f aca="false">SUM(E9:E12)</f>
        <v>3316.6</v>
      </c>
      <c r="F13" s="40" t="n">
        <f aca="false">SUM(F9:F12)</f>
        <v>2906</v>
      </c>
      <c r="G13" s="40" t="n">
        <f aca="false">SUM(G9:G12)</f>
        <v>2684.9</v>
      </c>
      <c r="H13" s="40" t="n">
        <f aca="false">SUM(H9:H12)</f>
        <v>2446.4</v>
      </c>
      <c r="I13" s="40" t="n">
        <f aca="false">SUM(I9:I12)</f>
        <v>2258.2</v>
      </c>
      <c r="J13" s="40" t="n">
        <f aca="false">SUM(J9:J12)</f>
        <v>2509</v>
      </c>
      <c r="K13" s="40" t="n">
        <f aca="false">SUM(K9:K12)</f>
        <v>3199.2</v>
      </c>
      <c r="L13" s="40" t="n">
        <f aca="false">SUM(L9:L12)</f>
        <v>3763.7</v>
      </c>
      <c r="M13" s="40" t="n">
        <f aca="false">SUM(M9:M12)</f>
        <v>3920.5</v>
      </c>
      <c r="N13" s="40" t="n">
        <f aca="false">SUM(N9:N12)</f>
        <v>3481.3</v>
      </c>
      <c r="O13" s="40" t="n">
        <f aca="false">SUM(O9:O12)</f>
        <v>37750.6</v>
      </c>
    </row>
    <row r="15" customFormat="false" ht="15" hidden="false" customHeight="false" outlineLevel="0" collapsed="false">
      <c r="B15" s="11" t="s">
        <v>335</v>
      </c>
    </row>
    <row r="16" customFormat="false" ht="15" hidden="false" customHeight="false" outlineLevel="0" collapsed="false">
      <c r="B16" s="36" t="s">
        <v>96</v>
      </c>
      <c r="C16" s="37" t="n">
        <f aca="false">-SUMIFS('TB Actual'!F$7:F$60,'TB Actual'!$D$7:$D$60,$B16)</f>
        <v>-2068.6</v>
      </c>
      <c r="D16" s="37" t="n">
        <f aca="false">-SUMIFS('TB Actual'!G$7:G$60,'TB Actual'!$D$7:$D$60,$B16)</f>
        <v>-1963.4</v>
      </c>
      <c r="E16" s="37" t="n">
        <f aca="false">-SUMIFS('TB Actual'!H$7:H$60,'TB Actual'!$D$7:$D$60,$B16)</f>
        <v>-1840.7</v>
      </c>
      <c r="F16" s="37" t="n">
        <f aca="false">-SUMIFS('TB Actual'!I$7:I$60,'TB Actual'!$D$7:$D$60,$B16)</f>
        <v>-1612.8</v>
      </c>
      <c r="G16" s="37" t="n">
        <f aca="false">-SUMIFS('TB Actual'!J$7:J$60,'TB Actual'!$D$7:$D$60,$B16)</f>
        <v>-1490.1</v>
      </c>
      <c r="H16" s="37" t="n">
        <f aca="false">-SUMIFS('TB Actual'!K$7:K$60,'TB Actual'!$D$7:$D$60,$B16)</f>
        <v>-1357.7</v>
      </c>
      <c r="I16" s="37" t="n">
        <f aca="false">-SUMIFS('TB Actual'!L$7:L$60,'TB Actual'!$D$7:$D$60,$B16)</f>
        <v>-1253.3</v>
      </c>
      <c r="J16" s="37" t="n">
        <f aca="false">-SUMIFS('TB Actual'!M$7:M$60,'TB Actual'!$D$7:$D$60,$B16)</f>
        <v>-1392.5</v>
      </c>
      <c r="K16" s="37" t="n">
        <f aca="false">-SUMIFS('TB Actual'!N$7:N$60,'TB Actual'!$D$7:$D$60,$B16)</f>
        <v>-1775.5</v>
      </c>
      <c r="L16" s="37" t="n">
        <f aca="false">-SUMIFS('TB Actual'!O$7:O$60,'TB Actual'!$D$7:$D$60,$B16)</f>
        <v>-2088.8</v>
      </c>
      <c r="M16" s="37" t="n">
        <f aca="false">-SUMIFS('TB Actual'!P$7:P$60,'TB Actual'!$D$7:$D$60,$B16)</f>
        <v>-2175.8</v>
      </c>
      <c r="N16" s="37" t="n">
        <f aca="false">-SUMIFS('TB Actual'!Q$7:Q$60,'TB Actual'!$D$7:$D$60,$B16)</f>
        <v>-1932.1</v>
      </c>
      <c r="O16" s="38" t="n">
        <f aca="false">SUM(C16:N16)</f>
        <v>-20951.3</v>
      </c>
    </row>
    <row r="17" customFormat="false" ht="15" hidden="false" customHeight="false" outlineLevel="0" collapsed="false">
      <c r="B17" s="36" t="s">
        <v>98</v>
      </c>
      <c r="C17" s="37" t="n">
        <f aca="false">-SUMIFS('TB Actual'!F$7:F$60,'TB Actual'!$D$7:$D$60,$B17)</f>
        <v>-164</v>
      </c>
      <c r="D17" s="37" t="n">
        <f aca="false">-SUMIFS('TB Actual'!G$7:G$60,'TB Actual'!$D$7:$D$60,$B17)</f>
        <v>-155.7</v>
      </c>
      <c r="E17" s="37" t="n">
        <f aca="false">-SUMIFS('TB Actual'!H$7:H$60,'TB Actual'!$D$7:$D$60,$B17)</f>
        <v>-145.9</v>
      </c>
      <c r="F17" s="37" t="n">
        <f aca="false">-SUMIFS('TB Actual'!I$7:I$60,'TB Actual'!$D$7:$D$60,$B17)</f>
        <v>-127.9</v>
      </c>
      <c r="G17" s="37" t="n">
        <f aca="false">-SUMIFS('TB Actual'!J$7:J$60,'TB Actual'!$D$7:$D$60,$B17)</f>
        <v>-118.1</v>
      </c>
      <c r="H17" s="37" t="n">
        <f aca="false">-SUMIFS('TB Actual'!K$7:K$60,'TB Actual'!$D$7:$D$60,$B17)</f>
        <v>-107.6</v>
      </c>
      <c r="I17" s="37" t="n">
        <f aca="false">-SUMIFS('TB Actual'!L$7:L$60,'TB Actual'!$D$7:$D$60,$B17)</f>
        <v>-99.4</v>
      </c>
      <c r="J17" s="37" t="n">
        <f aca="false">-SUMIFS('TB Actual'!M$7:M$60,'TB Actual'!$D$7:$D$60,$B17)</f>
        <v>-110.4</v>
      </c>
      <c r="K17" s="37" t="n">
        <f aca="false">-SUMIFS('TB Actual'!N$7:N$60,'TB Actual'!$D$7:$D$60,$B17)</f>
        <v>-140.8</v>
      </c>
      <c r="L17" s="37" t="n">
        <f aca="false">-SUMIFS('TB Actual'!O$7:O$60,'TB Actual'!$D$7:$D$60,$B17)</f>
        <v>-165.6</v>
      </c>
      <c r="M17" s="37" t="n">
        <f aca="false">-SUMIFS('TB Actual'!P$7:P$60,'TB Actual'!$D$7:$D$60,$B17)</f>
        <v>-172.5</v>
      </c>
      <c r="N17" s="37" t="n">
        <f aca="false">-SUMIFS('TB Actual'!Q$7:Q$60,'TB Actual'!$D$7:$D$60,$B17)</f>
        <v>-153.2</v>
      </c>
      <c r="O17" s="38" t="n">
        <f aca="false">SUM(C17:N17)</f>
        <v>-1661.1</v>
      </c>
    </row>
    <row r="18" customFormat="false" ht="15" hidden="false" customHeight="false" outlineLevel="0" collapsed="false">
      <c r="B18" s="36" t="s">
        <v>268</v>
      </c>
      <c r="C18" s="37" t="n">
        <f aca="false">-SUMIFS('TB Actual'!F$7:F$60,'TB Actual'!$D$7:$D$60,$B18)</f>
        <v>-13.6</v>
      </c>
      <c r="D18" s="37" t="n">
        <f aca="false">-SUMIFS('TB Actual'!G$7:G$60,'TB Actual'!$D$7:$D$60,$B18)</f>
        <v>-13.6</v>
      </c>
      <c r="E18" s="37" t="n">
        <f aca="false">-SUMIFS('TB Actual'!H$7:H$60,'TB Actual'!$D$7:$D$60,$B18)</f>
        <v>-17</v>
      </c>
      <c r="F18" s="37" t="n">
        <f aca="false">-SUMIFS('TB Actual'!I$7:I$60,'TB Actual'!$D$7:$D$60,$B18)</f>
        <v>-17</v>
      </c>
      <c r="G18" s="37" t="n">
        <f aca="false">-SUMIFS('TB Actual'!J$7:J$60,'TB Actual'!$D$7:$D$60,$B18)</f>
        <v>-17</v>
      </c>
      <c r="H18" s="37" t="n">
        <f aca="false">-SUMIFS('TB Actual'!K$7:K$60,'TB Actual'!$D$7:$D$60,$B18)</f>
        <v>-68</v>
      </c>
      <c r="I18" s="37" t="n">
        <f aca="false">-SUMIFS('TB Actual'!L$7:L$60,'TB Actual'!$D$7:$D$60,$B18)</f>
        <v>-17</v>
      </c>
      <c r="J18" s="37" t="n">
        <f aca="false">-SUMIFS('TB Actual'!M$7:M$60,'TB Actual'!$D$7:$D$60,$B18)</f>
        <v>-17</v>
      </c>
      <c r="K18" s="37" t="n">
        <f aca="false">-SUMIFS('TB Actual'!N$7:N$60,'TB Actual'!$D$7:$D$60,$B18)</f>
        <v>-17</v>
      </c>
      <c r="L18" s="37" t="n">
        <f aca="false">-SUMIFS('TB Actual'!O$7:O$60,'TB Actual'!$D$7:$D$60,$B18)</f>
        <v>-20.4</v>
      </c>
      <c r="M18" s="37" t="n">
        <f aca="false">-SUMIFS('TB Actual'!P$7:P$60,'TB Actual'!$D$7:$D$60,$B18)</f>
        <v>-88.3</v>
      </c>
      <c r="N18" s="37" t="n">
        <f aca="false">-SUMIFS('TB Actual'!Q$7:Q$60,'TB Actual'!$D$7:$D$60,$B18)</f>
        <v>-34</v>
      </c>
      <c r="O18" s="38" t="n">
        <f aca="false">SUM(C18:N18)</f>
        <v>-339.9</v>
      </c>
    </row>
    <row r="19" customFormat="false" ht="15" hidden="false" customHeight="false" outlineLevel="0" collapsed="false">
      <c r="B19" s="39" t="s">
        <v>336</v>
      </c>
      <c r="C19" s="40" t="n">
        <f aca="false">SUM(C16:C18)+C13</f>
        <v>1481</v>
      </c>
      <c r="D19" s="40" t="n">
        <f aca="false">SUM(D16:D18)+D13</f>
        <v>1404.9</v>
      </c>
      <c r="E19" s="40" t="n">
        <f aca="false">SUM(E16:E18)+E13</f>
        <v>1313</v>
      </c>
      <c r="F19" s="40" t="n">
        <f aca="false">SUM(F16:F18)+F13</f>
        <v>1148.3</v>
      </c>
      <c r="G19" s="40" t="n">
        <f aca="false">SUM(G16:G18)+G13</f>
        <v>1059.7</v>
      </c>
      <c r="H19" s="40" t="n">
        <f aca="false">SUM(H16:H18)+H13</f>
        <v>913.1</v>
      </c>
      <c r="I19" s="40" t="n">
        <f aca="false">SUM(I16:I18)+I13</f>
        <v>888.5</v>
      </c>
      <c r="J19" s="40" t="n">
        <f aca="false">SUM(J16:J18)+J13</f>
        <v>989.1</v>
      </c>
      <c r="K19" s="40" t="n">
        <f aca="false">SUM(K16:K18)+K13</f>
        <v>1265.9</v>
      </c>
      <c r="L19" s="40" t="n">
        <f aca="false">SUM(L16:L18)+L13</f>
        <v>1488.9</v>
      </c>
      <c r="M19" s="40" t="n">
        <f aca="false">SUM(M16:M18)+M13</f>
        <v>1483.9</v>
      </c>
      <c r="N19" s="40" t="n">
        <f aca="false">SUM(N16:N18)+N13</f>
        <v>1362</v>
      </c>
      <c r="O19" s="40" t="n">
        <f aca="false">SUM(O16:O18)+O13</f>
        <v>14798.3</v>
      </c>
    </row>
    <row r="21" customFormat="false" ht="15" hidden="false" customHeight="false" outlineLevel="0" collapsed="false">
      <c r="B21" s="11" t="s">
        <v>337</v>
      </c>
    </row>
    <row r="22" customFormat="false" ht="15" hidden="false" customHeight="false" outlineLevel="0" collapsed="false">
      <c r="B22" s="36" t="s">
        <v>101</v>
      </c>
      <c r="C22" s="37" t="n">
        <f aca="false">-SUMIFS('TB Actual'!F$7:F$60,'TB Actual'!$D$7:$D$60,$B22)</f>
        <v>-169.9</v>
      </c>
      <c r="D22" s="37" t="n">
        <f aca="false">-SUMIFS('TB Actual'!G$7:G$60,'TB Actual'!$D$7:$D$60,$B22)</f>
        <v>-158.6</v>
      </c>
      <c r="E22" s="37" t="n">
        <f aca="false">-SUMIFS('TB Actual'!H$7:H$60,'TB Actual'!$D$7:$D$60,$B22)</f>
        <v>-158.6</v>
      </c>
      <c r="F22" s="37" t="n">
        <f aca="false">-SUMIFS('TB Actual'!I$7:I$60,'TB Actual'!$D$7:$D$60,$B22)</f>
        <v>-147.2</v>
      </c>
      <c r="G22" s="37" t="n">
        <f aca="false">-SUMIFS('TB Actual'!J$7:J$60,'TB Actual'!$D$7:$D$60,$B22)</f>
        <v>-124.6</v>
      </c>
      <c r="H22" s="37" t="n">
        <f aca="false">-SUMIFS('TB Actual'!K$7:K$60,'TB Actual'!$D$7:$D$60,$B22)</f>
        <v>-101.9</v>
      </c>
      <c r="I22" s="37" t="n">
        <f aca="false">-SUMIFS('TB Actual'!L$7:L$60,'TB Actual'!$D$7:$D$60,$B22)</f>
        <v>-90.6</v>
      </c>
      <c r="J22" s="37" t="n">
        <f aca="false">-SUMIFS('TB Actual'!M$7:M$60,'TB Actual'!$D$7:$D$60,$B22)</f>
        <v>-135.9</v>
      </c>
      <c r="K22" s="37" t="n">
        <f aca="false">-SUMIFS('TB Actual'!N$7:N$60,'TB Actual'!$D$7:$D$60,$B22)</f>
        <v>-260.5</v>
      </c>
      <c r="L22" s="37" t="n">
        <f aca="false">-SUMIFS('TB Actual'!O$7:O$60,'TB Actual'!$D$7:$D$60,$B22)</f>
        <v>-305.8</v>
      </c>
      <c r="M22" s="37" t="n">
        <f aca="false">-SUMIFS('TB Actual'!P$7:P$60,'TB Actual'!$D$7:$D$60,$B22)</f>
        <v>-283.1</v>
      </c>
      <c r="N22" s="37" t="n">
        <f aca="false">-SUMIFS('TB Actual'!Q$7:Q$60,'TB Actual'!$D$7:$D$60,$B22)</f>
        <v>-328.4</v>
      </c>
      <c r="O22" s="38" t="n">
        <f aca="false">SUM(C22:N22)</f>
        <v>-2265.1</v>
      </c>
    </row>
    <row r="23" customFormat="false" ht="15" hidden="false" customHeight="false" outlineLevel="0" collapsed="false">
      <c r="B23" s="36" t="s">
        <v>272</v>
      </c>
      <c r="C23" s="37" t="n">
        <f aca="false">-SUMIFS('TB Actual'!F$7:F$60,'TB Actual'!$D$7:$D$60,$B23)</f>
        <v>-134.2</v>
      </c>
      <c r="D23" s="37" t="n">
        <f aca="false">-SUMIFS('TB Actual'!G$7:G$60,'TB Actual'!$D$7:$D$60,$B23)</f>
        <v>-127.4</v>
      </c>
      <c r="E23" s="37" t="n">
        <f aca="false">-SUMIFS('TB Actual'!H$7:H$60,'TB Actual'!$D$7:$D$60,$B23)</f>
        <v>-119.4</v>
      </c>
      <c r="F23" s="37" t="n">
        <f aca="false">-SUMIFS('TB Actual'!I$7:I$60,'TB Actual'!$D$7:$D$60,$B23)</f>
        <v>-104.6</v>
      </c>
      <c r="G23" s="37" t="n">
        <f aca="false">-SUMIFS('TB Actual'!J$7:J$60,'TB Actual'!$D$7:$D$60,$B23)</f>
        <v>-96.7</v>
      </c>
      <c r="H23" s="37" t="n">
        <f aca="false">-SUMIFS('TB Actual'!K$7:K$60,'TB Actual'!$D$7:$D$60,$B23)</f>
        <v>-88.1</v>
      </c>
      <c r="I23" s="37" t="n">
        <f aca="false">-SUMIFS('TB Actual'!L$7:L$60,'TB Actual'!$D$7:$D$60,$B23)</f>
        <v>-81.3</v>
      </c>
      <c r="J23" s="37" t="n">
        <f aca="false">-SUMIFS('TB Actual'!M$7:M$60,'TB Actual'!$D$7:$D$60,$B23)</f>
        <v>-90.3</v>
      </c>
      <c r="K23" s="37" t="n">
        <f aca="false">-SUMIFS('TB Actual'!N$7:N$60,'TB Actual'!$D$7:$D$60,$B23)</f>
        <v>-115.2</v>
      </c>
      <c r="L23" s="37" t="n">
        <f aca="false">-SUMIFS('TB Actual'!O$7:O$60,'TB Actual'!$D$7:$D$60,$B23)</f>
        <v>-135.5</v>
      </c>
      <c r="M23" s="37" t="n">
        <f aca="false">-SUMIFS('TB Actual'!P$7:P$60,'TB Actual'!$D$7:$D$60,$B23)</f>
        <v>-141.1</v>
      </c>
      <c r="N23" s="37" t="n">
        <f aca="false">-SUMIFS('TB Actual'!Q$7:Q$60,'TB Actual'!$D$7:$D$60,$B23)</f>
        <v>-125.3</v>
      </c>
      <c r="O23" s="38" t="n">
        <f aca="false">SUM(C23:N23)</f>
        <v>-1359.1</v>
      </c>
    </row>
    <row r="24" customFormat="false" ht="15" hidden="false" customHeight="false" outlineLevel="0" collapsed="false">
      <c r="B24" s="36" t="s">
        <v>104</v>
      </c>
      <c r="C24" s="37" t="n">
        <f aca="false">-SUMIFS('TB Actual'!F$7:F$60,'TB Actual'!$D$7:$D$60,$B24)</f>
        <v>-30.2</v>
      </c>
      <c r="D24" s="37" t="n">
        <f aca="false">-SUMIFS('TB Actual'!G$7:G$60,'TB Actual'!$D$7:$D$60,$B24)</f>
        <v>-30.2</v>
      </c>
      <c r="E24" s="37" t="n">
        <f aca="false">-SUMIFS('TB Actual'!H$7:H$60,'TB Actual'!$D$7:$D$60,$B24)</f>
        <v>-30.2</v>
      </c>
      <c r="F24" s="37" t="n">
        <f aca="false">-SUMIFS('TB Actual'!I$7:I$60,'TB Actual'!$D$7:$D$60,$B24)</f>
        <v>-30.2</v>
      </c>
      <c r="G24" s="37" t="n">
        <f aca="false">-SUMIFS('TB Actual'!J$7:J$60,'TB Actual'!$D$7:$D$60,$B24)</f>
        <v>-30.2</v>
      </c>
      <c r="H24" s="37" t="n">
        <f aca="false">-SUMIFS('TB Actual'!K$7:K$60,'TB Actual'!$D$7:$D$60,$B24)</f>
        <v>-30.2</v>
      </c>
      <c r="I24" s="37" t="n">
        <f aca="false">-SUMIFS('TB Actual'!L$7:L$60,'TB Actual'!$D$7:$D$60,$B24)</f>
        <v>-30.2</v>
      </c>
      <c r="J24" s="37" t="n">
        <f aca="false">-SUMIFS('TB Actual'!M$7:M$60,'TB Actual'!$D$7:$D$60,$B24)</f>
        <v>-30.2</v>
      </c>
      <c r="K24" s="37" t="n">
        <f aca="false">-SUMIFS('TB Actual'!N$7:N$60,'TB Actual'!$D$7:$D$60,$B24)</f>
        <v>-30.2</v>
      </c>
      <c r="L24" s="37" t="n">
        <f aca="false">-SUMIFS('TB Actual'!O$7:O$60,'TB Actual'!$D$7:$D$60,$B24)</f>
        <v>-30.2</v>
      </c>
      <c r="M24" s="37" t="n">
        <f aca="false">-SUMIFS('TB Actual'!P$7:P$60,'TB Actual'!$D$7:$D$60,$B24)</f>
        <v>-30.2</v>
      </c>
      <c r="N24" s="37" t="n">
        <f aca="false">-SUMIFS('TB Actual'!Q$7:Q$60,'TB Actual'!$D$7:$D$60,$B24)</f>
        <v>-30.2</v>
      </c>
      <c r="O24" s="38" t="n">
        <f aca="false">SUM(C24:N24)</f>
        <v>-362.4</v>
      </c>
    </row>
    <row r="25" customFormat="false" ht="15" hidden="false" customHeight="false" outlineLevel="0" collapsed="false">
      <c r="B25" s="36" t="s">
        <v>277</v>
      </c>
      <c r="C25" s="37" t="n">
        <f aca="false">-SUMIFS('TB Actual'!F$7:F$60,'TB Actual'!$D$7:$D$60,$B25)</f>
        <v>-69.9</v>
      </c>
      <c r="D25" s="37" t="n">
        <f aca="false">-SUMIFS('TB Actual'!G$7:G$60,'TB Actual'!$D$7:$D$60,$B25)</f>
        <v>-68.7</v>
      </c>
      <c r="E25" s="37" t="n">
        <f aca="false">-SUMIFS('TB Actual'!H$7:H$60,'TB Actual'!$D$7:$D$60,$B25)</f>
        <v>-67.3</v>
      </c>
      <c r="F25" s="37" t="n">
        <f aca="false">-SUMIFS('TB Actual'!I$7:I$60,'TB Actual'!$D$7:$D$60,$B25)</f>
        <v>-64.7</v>
      </c>
      <c r="G25" s="37" t="n">
        <f aca="false">-SUMIFS('TB Actual'!J$7:J$60,'TB Actual'!$D$7:$D$60,$B25)</f>
        <v>-63.3</v>
      </c>
      <c r="H25" s="37" t="n">
        <f aca="false">-SUMIFS('TB Actual'!K$7:K$60,'TB Actual'!$D$7:$D$60,$B25)</f>
        <v>-61.8</v>
      </c>
      <c r="I25" s="37" t="n">
        <f aca="false">-SUMIFS('TB Actual'!L$7:L$60,'TB Actual'!$D$7:$D$60,$B25)</f>
        <v>-60.6</v>
      </c>
      <c r="J25" s="37" t="n">
        <f aca="false">-SUMIFS('TB Actual'!M$7:M$60,'TB Actual'!$D$7:$D$60,$B25)</f>
        <v>-62.2</v>
      </c>
      <c r="K25" s="37" t="n">
        <f aca="false">-SUMIFS('TB Actual'!N$7:N$60,'TB Actual'!$D$7:$D$60,$B25)</f>
        <v>-66.6</v>
      </c>
      <c r="L25" s="37" t="n">
        <f aca="false">-SUMIFS('TB Actual'!O$7:O$60,'TB Actual'!$D$7:$D$60,$B25)</f>
        <v>-70.2</v>
      </c>
      <c r="M25" s="37" t="n">
        <f aca="false">-SUMIFS('TB Actual'!P$7:P$60,'TB Actual'!$D$7:$D$60,$B25)</f>
        <v>-71.1</v>
      </c>
      <c r="N25" s="37" t="n">
        <f aca="false">-SUMIFS('TB Actual'!Q$7:Q$60,'TB Actual'!$D$7:$D$60,$B25)</f>
        <v>-68.4</v>
      </c>
      <c r="O25" s="38" t="n">
        <f aca="false">SUM(C25:N25)</f>
        <v>-794.8</v>
      </c>
    </row>
    <row r="26" customFormat="false" ht="15" hidden="false" customHeight="false" outlineLevel="0" collapsed="false">
      <c r="B26" s="36" t="s">
        <v>108</v>
      </c>
      <c r="C26" s="37" t="n">
        <f aca="false">-SUMIFS('TB Actual'!F$7:F$60,'TB Actual'!$D$7:$D$60,$B26)</f>
        <v>-123</v>
      </c>
      <c r="D26" s="37" t="n">
        <f aca="false">-SUMIFS('TB Actual'!G$7:G$60,'TB Actual'!$D$7:$D$60,$B26)</f>
        <v>-116.7</v>
      </c>
      <c r="E26" s="37" t="n">
        <f aca="false">-SUMIFS('TB Actual'!H$7:H$60,'TB Actual'!$D$7:$D$60,$B26)</f>
        <v>-109.4</v>
      </c>
      <c r="F26" s="37" t="n">
        <f aca="false">-SUMIFS('TB Actual'!I$7:I$60,'TB Actual'!$D$7:$D$60,$B26)</f>
        <v>-95.9</v>
      </c>
      <c r="G26" s="37" t="n">
        <f aca="false">-SUMIFS('TB Actual'!J$7:J$60,'TB Actual'!$D$7:$D$60,$B26)</f>
        <v>-88.6</v>
      </c>
      <c r="H26" s="37" t="n">
        <f aca="false">-SUMIFS('TB Actual'!K$7:K$60,'TB Actual'!$D$7:$D$60,$B26)</f>
        <v>-80.7</v>
      </c>
      <c r="I26" s="37" t="n">
        <f aca="false">-SUMIFS('TB Actual'!L$7:L$60,'TB Actual'!$D$7:$D$60,$B26)</f>
        <v>-74.5</v>
      </c>
      <c r="J26" s="37" t="n">
        <f aca="false">-SUMIFS('TB Actual'!M$7:M$60,'TB Actual'!$D$7:$D$60,$B26)</f>
        <v>-82.8</v>
      </c>
      <c r="K26" s="37" t="n">
        <f aca="false">-SUMIFS('TB Actual'!N$7:N$60,'TB Actual'!$D$7:$D$60,$B26)</f>
        <v>-105.6</v>
      </c>
      <c r="L26" s="37" t="n">
        <f aca="false">-SUMIFS('TB Actual'!O$7:O$60,'TB Actual'!$D$7:$D$60,$B26)</f>
        <v>-124.2</v>
      </c>
      <c r="M26" s="37" t="n">
        <f aca="false">-SUMIFS('TB Actual'!P$7:P$60,'TB Actual'!$D$7:$D$60,$B26)</f>
        <v>-129.4</v>
      </c>
      <c r="N26" s="37" t="n">
        <f aca="false">-SUMIFS('TB Actual'!Q$7:Q$60,'TB Actual'!$D$7:$D$60,$B26)</f>
        <v>-114.9</v>
      </c>
      <c r="O26" s="38" t="n">
        <f aca="false">SUM(C26:N26)</f>
        <v>-1245.7</v>
      </c>
    </row>
    <row r="27" customFormat="false" ht="15" hidden="false" customHeight="false" outlineLevel="0" collapsed="false">
      <c r="B27" s="36" t="s">
        <v>282</v>
      </c>
      <c r="C27" s="37" t="n">
        <f aca="false">-SUMIFS('TB Actual'!F$7:F$60,'TB Actual'!$D$7:$D$60,$B27)</f>
        <v>-176</v>
      </c>
      <c r="D27" s="37" t="n">
        <f aca="false">-SUMIFS('TB Actual'!G$7:G$60,'TB Actual'!$D$7:$D$60,$B27)</f>
        <v>-176</v>
      </c>
      <c r="E27" s="37" t="n">
        <f aca="false">-SUMIFS('TB Actual'!H$7:H$60,'TB Actual'!$D$7:$D$60,$B27)</f>
        <v>-176</v>
      </c>
      <c r="F27" s="37" t="n">
        <f aca="false">-SUMIFS('TB Actual'!I$7:I$60,'TB Actual'!$D$7:$D$60,$B27)</f>
        <v>-176</v>
      </c>
      <c r="G27" s="37" t="n">
        <f aca="false">-SUMIFS('TB Actual'!J$7:J$60,'TB Actual'!$D$7:$D$60,$B27)</f>
        <v>-176</v>
      </c>
      <c r="H27" s="37" t="n">
        <f aca="false">-SUMIFS('TB Actual'!K$7:K$60,'TB Actual'!$D$7:$D$60,$B27)</f>
        <v>-176</v>
      </c>
      <c r="I27" s="37" t="n">
        <f aca="false">-SUMIFS('TB Actual'!L$7:L$60,'TB Actual'!$D$7:$D$60,$B27)</f>
        <v>-176</v>
      </c>
      <c r="J27" s="37" t="n">
        <f aca="false">-SUMIFS('TB Actual'!M$7:M$60,'TB Actual'!$D$7:$D$60,$B27)</f>
        <v>-176</v>
      </c>
      <c r="K27" s="37" t="n">
        <f aca="false">-SUMIFS('TB Actual'!N$7:N$60,'TB Actual'!$D$7:$D$60,$B27)</f>
        <v>-176</v>
      </c>
      <c r="L27" s="37" t="n">
        <f aca="false">-SUMIFS('TB Actual'!O$7:O$60,'TB Actual'!$D$7:$D$60,$B27)</f>
        <v>-176</v>
      </c>
      <c r="M27" s="37" t="n">
        <f aca="false">-SUMIFS('TB Actual'!P$7:P$60,'TB Actual'!$D$7:$D$60,$B27)</f>
        <v>-176</v>
      </c>
      <c r="N27" s="37" t="n">
        <f aca="false">-SUMIFS('TB Actual'!Q$7:Q$60,'TB Actual'!$D$7:$D$60,$B27)</f>
        <v>-299.2</v>
      </c>
      <c r="O27" s="38" t="n">
        <f aca="false">SUM(C27:N27)</f>
        <v>-2235.2</v>
      </c>
    </row>
    <row r="28" customFormat="false" ht="15" hidden="false" customHeight="false" outlineLevel="0" collapsed="false">
      <c r="B28" s="36" t="s">
        <v>285</v>
      </c>
      <c r="C28" s="37" t="n">
        <f aca="false">-SUMIFS('TB Actual'!F$7:F$60,'TB Actual'!$D$7:$D$60,$B28)</f>
        <v>-92.9</v>
      </c>
      <c r="D28" s="37" t="n">
        <f aca="false">-SUMIFS('TB Actual'!G$7:G$60,'TB Actual'!$D$7:$D$60,$B28)</f>
        <v>-92.9</v>
      </c>
      <c r="E28" s="37" t="n">
        <f aca="false">-SUMIFS('TB Actual'!H$7:H$60,'TB Actual'!$D$7:$D$60,$B28)</f>
        <v>-92.9</v>
      </c>
      <c r="F28" s="37" t="n">
        <f aca="false">-SUMIFS('TB Actual'!I$7:I$60,'TB Actual'!$D$7:$D$60,$B28)</f>
        <v>-92.9</v>
      </c>
      <c r="G28" s="37" t="n">
        <f aca="false">-SUMIFS('TB Actual'!J$7:J$60,'TB Actual'!$D$7:$D$60,$B28)</f>
        <v>-92.9</v>
      </c>
      <c r="H28" s="37" t="n">
        <f aca="false">-SUMIFS('TB Actual'!K$7:K$60,'TB Actual'!$D$7:$D$60,$B28)</f>
        <v>-92.9</v>
      </c>
      <c r="I28" s="37" t="n">
        <f aca="false">-SUMIFS('TB Actual'!L$7:L$60,'TB Actual'!$D$7:$D$60,$B28)</f>
        <v>-92.9</v>
      </c>
      <c r="J28" s="37" t="n">
        <f aca="false">-SUMIFS('TB Actual'!M$7:M$60,'TB Actual'!$D$7:$D$60,$B28)</f>
        <v>-92.9</v>
      </c>
      <c r="K28" s="37" t="n">
        <f aca="false">-SUMIFS('TB Actual'!N$7:N$60,'TB Actual'!$D$7:$D$60,$B28)</f>
        <v>-92.9</v>
      </c>
      <c r="L28" s="37" t="n">
        <f aca="false">-SUMIFS('TB Actual'!O$7:O$60,'TB Actual'!$D$7:$D$60,$B28)</f>
        <v>-92.9</v>
      </c>
      <c r="M28" s="37" t="n">
        <f aca="false">-SUMIFS('TB Actual'!P$7:P$60,'TB Actual'!$D$7:$D$60,$B28)</f>
        <v>-92.9</v>
      </c>
      <c r="N28" s="37" t="n">
        <f aca="false">-SUMIFS('TB Actual'!Q$7:Q$60,'TB Actual'!$D$7:$D$60,$B28)</f>
        <v>-158</v>
      </c>
      <c r="O28" s="38" t="n">
        <f aca="false">SUM(C28:N28)</f>
        <v>-1179.9</v>
      </c>
    </row>
    <row r="29" customFormat="false" ht="15" hidden="false" customHeight="false" outlineLevel="0" collapsed="false">
      <c r="B29" s="36" t="s">
        <v>288</v>
      </c>
      <c r="C29" s="37" t="n">
        <f aca="false">-SUMIFS('TB Actual'!F$7:F$60,'TB Actual'!$D$7:$D$60,$B29)</f>
        <v>-31.5</v>
      </c>
      <c r="D29" s="37" t="n">
        <f aca="false">-SUMIFS('TB Actual'!G$7:G$60,'TB Actual'!$D$7:$D$60,$B29)</f>
        <v>-31.5</v>
      </c>
      <c r="E29" s="37" t="n">
        <f aca="false">-SUMIFS('TB Actual'!H$7:H$60,'TB Actual'!$D$7:$D$60,$B29)</f>
        <v>-31.5</v>
      </c>
      <c r="F29" s="37" t="n">
        <f aca="false">-SUMIFS('TB Actual'!I$7:I$60,'TB Actual'!$D$7:$D$60,$B29)</f>
        <v>-31.5</v>
      </c>
      <c r="G29" s="37" t="n">
        <f aca="false">-SUMIFS('TB Actual'!J$7:J$60,'TB Actual'!$D$7:$D$60,$B29)</f>
        <v>-31.5</v>
      </c>
      <c r="H29" s="37" t="n">
        <f aca="false">-SUMIFS('TB Actual'!K$7:K$60,'TB Actual'!$D$7:$D$60,$B29)</f>
        <v>-31.5</v>
      </c>
      <c r="I29" s="37" t="n">
        <f aca="false">-SUMIFS('TB Actual'!L$7:L$60,'TB Actual'!$D$7:$D$60,$B29)</f>
        <v>-31.5</v>
      </c>
      <c r="J29" s="37" t="n">
        <f aca="false">-SUMIFS('TB Actual'!M$7:M$60,'TB Actual'!$D$7:$D$60,$B29)</f>
        <v>-31.5</v>
      </c>
      <c r="K29" s="37" t="n">
        <f aca="false">-SUMIFS('TB Actual'!N$7:N$60,'TB Actual'!$D$7:$D$60,$B29)</f>
        <v>-31.5</v>
      </c>
      <c r="L29" s="37" t="n">
        <f aca="false">-SUMIFS('TB Actual'!O$7:O$60,'TB Actual'!$D$7:$D$60,$B29)</f>
        <v>-31.5</v>
      </c>
      <c r="M29" s="37" t="n">
        <f aca="false">-SUMIFS('TB Actual'!P$7:P$60,'TB Actual'!$D$7:$D$60,$B29)</f>
        <v>-31.5</v>
      </c>
      <c r="N29" s="37" t="n">
        <f aca="false">-SUMIFS('TB Actual'!Q$7:Q$60,'TB Actual'!$D$7:$D$60,$B29)</f>
        <v>-31.5</v>
      </c>
      <c r="O29" s="38" t="n">
        <f aca="false">SUM(C29:N29)</f>
        <v>-378</v>
      </c>
    </row>
    <row r="30" customFormat="false" ht="15" hidden="false" customHeight="false" outlineLevel="0" collapsed="false">
      <c r="B30" s="36" t="s">
        <v>291</v>
      </c>
      <c r="C30" s="37" t="n">
        <f aca="false">-SUMIFS('TB Actual'!F$7:F$60,'TB Actual'!$D$7:$D$60,$B30)</f>
        <v>-17.1</v>
      </c>
      <c r="D30" s="37" t="n">
        <f aca="false">-SUMIFS('TB Actual'!G$7:G$60,'TB Actual'!$D$7:$D$60,$B30)</f>
        <v>-54.7</v>
      </c>
      <c r="E30" s="37" t="n">
        <f aca="false">-SUMIFS('TB Actual'!H$7:H$60,'TB Actual'!$D$7:$D$60,$B30)</f>
        <v>-61.6</v>
      </c>
      <c r="F30" s="37" t="n">
        <f aca="false">-SUMIFS('TB Actual'!I$7:I$60,'TB Actual'!$D$7:$D$60,$B30)</f>
        <v>-23.9</v>
      </c>
      <c r="G30" s="37" t="n">
        <f aca="false">-SUMIFS('TB Actual'!J$7:J$60,'TB Actual'!$D$7:$D$60,$B30)</f>
        <v>-17.1</v>
      </c>
      <c r="H30" s="37" t="n">
        <f aca="false">-SUMIFS('TB Actual'!K$7:K$60,'TB Actual'!$D$7:$D$60,$B30)</f>
        <v>-17.1</v>
      </c>
      <c r="I30" s="37" t="n">
        <f aca="false">-SUMIFS('TB Actual'!L$7:L$60,'TB Actual'!$D$7:$D$60,$B30)</f>
        <v>-13.7</v>
      </c>
      <c r="J30" s="37" t="n">
        <f aca="false">-SUMIFS('TB Actual'!M$7:M$60,'TB Actual'!$D$7:$D$60,$B30)</f>
        <v>-13.7</v>
      </c>
      <c r="K30" s="37" t="n">
        <f aca="false">-SUMIFS('TB Actual'!N$7:N$60,'TB Actual'!$D$7:$D$60,$B30)</f>
        <v>-20.5</v>
      </c>
      <c r="L30" s="37" t="n">
        <f aca="false">-SUMIFS('TB Actual'!O$7:O$60,'TB Actual'!$D$7:$D$60,$B30)</f>
        <v>-23.9</v>
      </c>
      <c r="M30" s="37" t="n">
        <f aca="false">-SUMIFS('TB Actual'!P$7:P$60,'TB Actual'!$D$7:$D$60,$B30)</f>
        <v>-34.2</v>
      </c>
      <c r="N30" s="37" t="n">
        <f aca="false">-SUMIFS('TB Actual'!Q$7:Q$60,'TB Actual'!$D$7:$D$60,$B30)</f>
        <v>-44.5</v>
      </c>
      <c r="O30" s="38" t="n">
        <f aca="false">SUM(C30:N30)</f>
        <v>-342</v>
      </c>
    </row>
    <row r="31" customFormat="false" ht="15" hidden="false" customHeight="false" outlineLevel="0" collapsed="false">
      <c r="B31" s="36" t="s">
        <v>294</v>
      </c>
      <c r="C31" s="37" t="n">
        <f aca="false">-SUMIFS('TB Actual'!F$7:F$60,'TB Actual'!$D$7:$D$60,$B31)</f>
        <v>-28.1</v>
      </c>
      <c r="D31" s="37" t="n">
        <f aca="false">-SUMIFS('TB Actual'!G$7:G$60,'TB Actual'!$D$7:$D$60,$B31)</f>
        <v>-28.1</v>
      </c>
      <c r="E31" s="37" t="n">
        <f aca="false">-SUMIFS('TB Actual'!H$7:H$60,'TB Actual'!$D$7:$D$60,$B31)</f>
        <v>-28.1</v>
      </c>
      <c r="F31" s="37" t="n">
        <f aca="false">-SUMIFS('TB Actual'!I$7:I$60,'TB Actual'!$D$7:$D$60,$B31)</f>
        <v>-28.1</v>
      </c>
      <c r="G31" s="37" t="n">
        <f aca="false">-SUMIFS('TB Actual'!J$7:J$60,'TB Actual'!$D$7:$D$60,$B31)</f>
        <v>-28.1</v>
      </c>
      <c r="H31" s="37" t="n">
        <f aca="false">-SUMIFS('TB Actual'!K$7:K$60,'TB Actual'!$D$7:$D$60,$B31)</f>
        <v>-28.1</v>
      </c>
      <c r="I31" s="37" t="n">
        <f aca="false">-SUMIFS('TB Actual'!L$7:L$60,'TB Actual'!$D$7:$D$60,$B31)</f>
        <v>-28.1</v>
      </c>
      <c r="J31" s="37" t="n">
        <f aca="false">-SUMIFS('TB Actual'!M$7:M$60,'TB Actual'!$D$7:$D$60,$B31)</f>
        <v>-28.1</v>
      </c>
      <c r="K31" s="37" t="n">
        <f aca="false">-SUMIFS('TB Actual'!N$7:N$60,'TB Actual'!$D$7:$D$60,$B31)</f>
        <v>-28.1</v>
      </c>
      <c r="L31" s="37" t="n">
        <f aca="false">-SUMIFS('TB Actual'!O$7:O$60,'TB Actual'!$D$7:$D$60,$B31)</f>
        <v>-28.1</v>
      </c>
      <c r="M31" s="37" t="n">
        <f aca="false">-SUMIFS('TB Actual'!P$7:P$60,'TB Actual'!$D$7:$D$60,$B31)</f>
        <v>-28.1</v>
      </c>
      <c r="N31" s="37" t="n">
        <f aca="false">-SUMIFS('TB Actual'!Q$7:Q$60,'TB Actual'!$D$7:$D$60,$B31)</f>
        <v>-28.1</v>
      </c>
      <c r="O31" s="38" t="n">
        <f aca="false">SUM(C31:N31)</f>
        <v>-337.2</v>
      </c>
    </row>
    <row r="32" customFormat="false" ht="15" hidden="false" customHeight="false" outlineLevel="0" collapsed="false">
      <c r="B32" s="39" t="s">
        <v>338</v>
      </c>
      <c r="C32" s="40" t="n">
        <f aca="false">SUM(C22:C31)+C19</f>
        <v>608.2</v>
      </c>
      <c r="D32" s="40" t="n">
        <f aca="false">SUM(D22:D31)+D19</f>
        <v>520.1</v>
      </c>
      <c r="E32" s="40" t="n">
        <f aca="false">SUM(E22:E31)+E19</f>
        <v>438</v>
      </c>
      <c r="F32" s="40" t="n">
        <f aca="false">SUM(F22:F31)+F19</f>
        <v>353.3</v>
      </c>
      <c r="G32" s="40" t="n">
        <f aca="false">SUM(G22:G31)+G19</f>
        <v>310.7</v>
      </c>
      <c r="H32" s="40" t="n">
        <f aca="false">SUM(H22:H31)+H19</f>
        <v>204.8</v>
      </c>
      <c r="I32" s="40" t="n">
        <f aca="false">SUM(I22:I31)+I19</f>
        <v>209.1</v>
      </c>
      <c r="J32" s="40" t="n">
        <f aca="false">SUM(J22:J31)+J19</f>
        <v>245.5</v>
      </c>
      <c r="K32" s="40" t="n">
        <f aca="false">SUM(K22:K31)+K19</f>
        <v>338.8</v>
      </c>
      <c r="L32" s="40" t="n">
        <f aca="false">SUM(L22:L31)+L19</f>
        <v>470.599999999999</v>
      </c>
      <c r="M32" s="40" t="n">
        <f aca="false">SUM(M22:M31)+M19</f>
        <v>466.300000000001</v>
      </c>
      <c r="N32" s="40" t="n">
        <f aca="false">SUM(N22:N31)+N19</f>
        <v>133.5</v>
      </c>
      <c r="O32" s="40" t="n">
        <f aca="false">SUM(O22:O31)+O19</f>
        <v>4298.9</v>
      </c>
    </row>
    <row r="34" customFormat="false" ht="15" hidden="false" customHeight="false" outlineLevel="0" collapsed="false">
      <c r="B34" s="11" t="s">
        <v>339</v>
      </c>
    </row>
    <row r="35" customFormat="false" ht="15" hidden="false" customHeight="false" outlineLevel="0" collapsed="false">
      <c r="B35" s="36" t="s">
        <v>297</v>
      </c>
      <c r="C35" s="37" t="n">
        <f aca="false">-SUMIFS('TB Actual'!F$7:F$60,'TB Actual'!$D$7:$D$60,$B35)</f>
        <v>-20.5</v>
      </c>
      <c r="D35" s="37" t="n">
        <f aca="false">-SUMIFS('TB Actual'!G$7:G$60,'TB Actual'!$D$7:$D$60,$B35)</f>
        <v>-20.5</v>
      </c>
      <c r="E35" s="37" t="n">
        <f aca="false">-SUMIFS('TB Actual'!H$7:H$60,'TB Actual'!$D$7:$D$60,$B35)</f>
        <v>-20.5</v>
      </c>
      <c r="F35" s="37" t="n">
        <f aca="false">-SUMIFS('TB Actual'!I$7:I$60,'TB Actual'!$D$7:$D$60,$B35)</f>
        <v>-20.5</v>
      </c>
      <c r="G35" s="37" t="n">
        <f aca="false">-SUMIFS('TB Actual'!J$7:J$60,'TB Actual'!$D$7:$D$60,$B35)</f>
        <v>-20.5</v>
      </c>
      <c r="H35" s="37" t="n">
        <f aca="false">-SUMIFS('TB Actual'!K$7:K$60,'TB Actual'!$D$7:$D$60,$B35)</f>
        <v>-20.5</v>
      </c>
      <c r="I35" s="37" t="n">
        <f aca="false">-SUMIFS('TB Actual'!L$7:L$60,'TB Actual'!$D$7:$D$60,$B35)</f>
        <v>-20.5</v>
      </c>
      <c r="J35" s="37" t="n">
        <f aca="false">-SUMIFS('TB Actual'!M$7:M$60,'TB Actual'!$D$7:$D$60,$B35)</f>
        <v>-20.5</v>
      </c>
      <c r="K35" s="37" t="n">
        <f aca="false">-SUMIFS('TB Actual'!N$7:N$60,'TB Actual'!$D$7:$D$60,$B35)</f>
        <v>-20.5</v>
      </c>
      <c r="L35" s="37" t="n">
        <f aca="false">-SUMIFS('TB Actual'!O$7:O$60,'TB Actual'!$D$7:$D$60,$B35)</f>
        <v>-20.5</v>
      </c>
      <c r="M35" s="37" t="n">
        <f aca="false">-SUMIFS('TB Actual'!P$7:P$60,'TB Actual'!$D$7:$D$60,$B35)</f>
        <v>-20.5</v>
      </c>
      <c r="N35" s="37" t="n">
        <f aca="false">-SUMIFS('TB Actual'!Q$7:Q$60,'TB Actual'!$D$7:$D$60,$B35)</f>
        <v>-20.5</v>
      </c>
      <c r="O35" s="38" t="n">
        <f aca="false">SUM(C35:N35)</f>
        <v>-246</v>
      </c>
    </row>
    <row r="36" customFormat="false" ht="15" hidden="false" customHeight="false" outlineLevel="0" collapsed="false">
      <c r="B36" s="36" t="s">
        <v>300</v>
      </c>
      <c r="C36" s="37" t="n">
        <f aca="false">-SUMIFS('TB Actual'!F$7:F$60,'TB Actual'!$D$7:$D$60,$B36)</f>
        <v>-43.5</v>
      </c>
      <c r="D36" s="37" t="n">
        <f aca="false">-SUMIFS('TB Actual'!G$7:G$60,'TB Actual'!$D$7:$D$60,$B36)</f>
        <v>-43.5</v>
      </c>
      <c r="E36" s="37" t="n">
        <f aca="false">-SUMIFS('TB Actual'!H$7:H$60,'TB Actual'!$D$7:$D$60,$B36)</f>
        <v>-43.5</v>
      </c>
      <c r="F36" s="37" t="n">
        <f aca="false">-SUMIFS('TB Actual'!I$7:I$60,'TB Actual'!$D$7:$D$60,$B36)</f>
        <v>-43.5</v>
      </c>
      <c r="G36" s="37" t="n">
        <f aca="false">-SUMIFS('TB Actual'!J$7:J$60,'TB Actual'!$D$7:$D$60,$B36)</f>
        <v>-43.5</v>
      </c>
      <c r="H36" s="37" t="n">
        <f aca="false">-SUMIFS('TB Actual'!K$7:K$60,'TB Actual'!$D$7:$D$60,$B36)</f>
        <v>-43.5</v>
      </c>
      <c r="I36" s="37" t="n">
        <f aca="false">-SUMIFS('TB Actual'!L$7:L$60,'TB Actual'!$D$7:$D$60,$B36)</f>
        <v>-43.5</v>
      </c>
      <c r="J36" s="37" t="n">
        <f aca="false">-SUMIFS('TB Actual'!M$7:M$60,'TB Actual'!$D$7:$D$60,$B36)</f>
        <v>-43.5</v>
      </c>
      <c r="K36" s="37" t="n">
        <f aca="false">-SUMIFS('TB Actual'!N$7:N$60,'TB Actual'!$D$7:$D$60,$B36)</f>
        <v>-43.5</v>
      </c>
      <c r="L36" s="37" t="n">
        <f aca="false">-SUMIFS('TB Actual'!O$7:O$60,'TB Actual'!$D$7:$D$60,$B36)</f>
        <v>-43.5</v>
      </c>
      <c r="M36" s="37" t="n">
        <f aca="false">-SUMIFS('TB Actual'!P$7:P$60,'TB Actual'!$D$7:$D$60,$B36)</f>
        <v>-43.5</v>
      </c>
      <c r="N36" s="37" t="n">
        <f aca="false">-SUMIFS('TB Actual'!Q$7:Q$60,'TB Actual'!$D$7:$D$60,$B36)</f>
        <v>-43.5</v>
      </c>
      <c r="O36" s="38" t="n">
        <f aca="false">SUM(C36:N36)</f>
        <v>-522</v>
      </c>
    </row>
    <row r="37" customFormat="false" ht="15" hidden="false" customHeight="false" outlineLevel="0" collapsed="false">
      <c r="B37" s="36" t="s">
        <v>303</v>
      </c>
      <c r="C37" s="37" t="n">
        <f aca="false">-SUMIFS('TB Actual'!F$7:F$60,'TB Actual'!$D$7:$D$60,$B37)</f>
        <v>-25.8</v>
      </c>
      <c r="D37" s="37" t="n">
        <f aca="false">-SUMIFS('TB Actual'!G$7:G$60,'TB Actual'!$D$7:$D$60,$B37)</f>
        <v>-25.8</v>
      </c>
      <c r="E37" s="37" t="n">
        <f aca="false">-SUMIFS('TB Actual'!H$7:H$60,'TB Actual'!$D$7:$D$60,$B37)</f>
        <v>-25.8</v>
      </c>
      <c r="F37" s="37" t="n">
        <f aca="false">-SUMIFS('TB Actual'!I$7:I$60,'TB Actual'!$D$7:$D$60,$B37)</f>
        <v>-25.8</v>
      </c>
      <c r="G37" s="37" t="n">
        <f aca="false">-SUMIFS('TB Actual'!J$7:J$60,'TB Actual'!$D$7:$D$60,$B37)</f>
        <v>-25.8</v>
      </c>
      <c r="H37" s="37" t="n">
        <f aca="false">-SUMIFS('TB Actual'!K$7:K$60,'TB Actual'!$D$7:$D$60,$B37)</f>
        <v>-25.8</v>
      </c>
      <c r="I37" s="37" t="n">
        <f aca="false">-SUMIFS('TB Actual'!L$7:L$60,'TB Actual'!$D$7:$D$60,$B37)</f>
        <v>-25.8</v>
      </c>
      <c r="J37" s="37" t="n">
        <f aca="false">-SUMIFS('TB Actual'!M$7:M$60,'TB Actual'!$D$7:$D$60,$B37)</f>
        <v>-25.8</v>
      </c>
      <c r="K37" s="37" t="n">
        <f aca="false">-SUMIFS('TB Actual'!N$7:N$60,'TB Actual'!$D$7:$D$60,$B37)</f>
        <v>-25.8</v>
      </c>
      <c r="L37" s="37" t="n">
        <f aca="false">-SUMIFS('TB Actual'!O$7:O$60,'TB Actual'!$D$7:$D$60,$B37)</f>
        <v>-25.8</v>
      </c>
      <c r="M37" s="37" t="n">
        <f aca="false">-SUMIFS('TB Actual'!P$7:P$60,'TB Actual'!$D$7:$D$60,$B37)</f>
        <v>-25.8</v>
      </c>
      <c r="N37" s="37" t="n">
        <f aca="false">-SUMIFS('TB Actual'!Q$7:Q$60,'TB Actual'!$D$7:$D$60,$B37)</f>
        <v>-25.8</v>
      </c>
      <c r="O37" s="38" t="n">
        <f aca="false">SUM(C37:N37)</f>
        <v>-309.6</v>
      </c>
    </row>
    <row r="38" customFormat="false" ht="15" hidden="false" customHeight="false" outlineLevel="0" collapsed="false">
      <c r="B38" s="39" t="s">
        <v>340</v>
      </c>
      <c r="C38" s="40" t="n">
        <f aca="false">SUM(C35:C37)+C32</f>
        <v>518.4</v>
      </c>
      <c r="D38" s="40" t="n">
        <f aca="false">SUM(D35:D37)+D32</f>
        <v>430.3</v>
      </c>
      <c r="E38" s="40" t="n">
        <f aca="false">SUM(E35:E37)+E32</f>
        <v>348.2</v>
      </c>
      <c r="F38" s="40" t="n">
        <f aca="false">SUM(F35:F37)+F32</f>
        <v>263.5</v>
      </c>
      <c r="G38" s="40" t="n">
        <f aca="false">SUM(G35:G37)+G32</f>
        <v>220.9</v>
      </c>
      <c r="H38" s="40" t="n">
        <f aca="false">SUM(H35:H37)+H32</f>
        <v>115</v>
      </c>
      <c r="I38" s="40" t="n">
        <f aca="false">SUM(I35:I37)+I32</f>
        <v>119.3</v>
      </c>
      <c r="J38" s="40" t="n">
        <f aca="false">SUM(J35:J37)+J32</f>
        <v>155.7</v>
      </c>
      <c r="K38" s="40" t="n">
        <f aca="false">SUM(K35:K37)+K32</f>
        <v>249</v>
      </c>
      <c r="L38" s="40" t="n">
        <f aca="false">SUM(L35:L37)+L32</f>
        <v>380.799999999999</v>
      </c>
      <c r="M38" s="40" t="n">
        <f aca="false">SUM(M35:M37)+M32</f>
        <v>376.500000000001</v>
      </c>
      <c r="N38" s="40" t="n">
        <f aca="false">SUM(N35:N37)+N32</f>
        <v>43.7000000000002</v>
      </c>
      <c r="O38" s="40" t="n">
        <f aca="false">SUM(O35:O37)+O32</f>
        <v>3221.3</v>
      </c>
    </row>
    <row r="40" customFormat="false" ht="15" hidden="false" customHeight="false" outlineLevel="0" collapsed="false">
      <c r="B40" s="11" t="s">
        <v>341</v>
      </c>
    </row>
    <row r="41" customFormat="false" ht="15" hidden="false" customHeight="false" outlineLevel="0" collapsed="false">
      <c r="B41" s="36" t="s">
        <v>306</v>
      </c>
      <c r="C41" s="37" t="n">
        <f aca="false">-SUMIFS('TB Actual'!F$7:F$60,'TB Actual'!$D$7:$D$60,$B41)</f>
        <v>-13</v>
      </c>
      <c r="D41" s="37" t="n">
        <f aca="false">-SUMIFS('TB Actual'!G$7:G$60,'TB Actual'!$D$7:$D$60,$B41)</f>
        <v>-13</v>
      </c>
      <c r="E41" s="37" t="n">
        <f aca="false">-SUMIFS('TB Actual'!H$7:H$60,'TB Actual'!$D$7:$D$60,$B41)</f>
        <v>-13</v>
      </c>
      <c r="F41" s="37" t="n">
        <f aca="false">-SUMIFS('TB Actual'!I$7:I$60,'TB Actual'!$D$7:$D$60,$B41)</f>
        <v>-11.9</v>
      </c>
      <c r="G41" s="37" t="n">
        <f aca="false">-SUMIFS('TB Actual'!J$7:J$60,'TB Actual'!$D$7:$D$60,$B41)</f>
        <v>-11.9</v>
      </c>
      <c r="H41" s="37" t="n">
        <f aca="false">-SUMIFS('TB Actual'!K$7:K$60,'TB Actual'!$D$7:$D$60,$B41)</f>
        <v>-11.9</v>
      </c>
      <c r="I41" s="37" t="n">
        <f aca="false">-SUMIFS('TB Actual'!L$7:L$60,'TB Actual'!$D$7:$D$60,$B41)</f>
        <v>-10.8</v>
      </c>
      <c r="J41" s="37" t="n">
        <f aca="false">-SUMIFS('TB Actual'!M$7:M$60,'TB Actual'!$D$7:$D$60,$B41)</f>
        <v>-10.8</v>
      </c>
      <c r="K41" s="37" t="n">
        <f aca="false">-SUMIFS('TB Actual'!N$7:N$60,'TB Actual'!$D$7:$D$60,$B41)</f>
        <v>-10.8</v>
      </c>
      <c r="L41" s="37" t="n">
        <f aca="false">-SUMIFS('TB Actual'!O$7:O$60,'TB Actual'!$D$7:$D$60,$B41)</f>
        <v>-9.8</v>
      </c>
      <c r="M41" s="37" t="n">
        <f aca="false">-SUMIFS('TB Actual'!P$7:P$60,'TB Actual'!$D$7:$D$60,$B41)</f>
        <v>-9.8</v>
      </c>
      <c r="N41" s="37" t="n">
        <f aca="false">-SUMIFS('TB Actual'!Q$7:Q$60,'TB Actual'!$D$7:$D$60,$B41)</f>
        <v>-9.8</v>
      </c>
      <c r="O41" s="38" t="n">
        <f aca="false">SUM(C41:N41)</f>
        <v>-136.5</v>
      </c>
    </row>
    <row r="42" customFormat="false" ht="15" hidden="false" customHeight="false" outlineLevel="0" collapsed="false">
      <c r="B42" s="36" t="s">
        <v>310</v>
      </c>
      <c r="C42" s="37" t="n">
        <f aca="false">-SUMIFS('TB Actual'!F$7:F$60,'TB Actual'!$D$7:$D$60,$B42)</f>
        <v>-10.6</v>
      </c>
      <c r="D42" s="37" t="n">
        <f aca="false">-SUMIFS('TB Actual'!G$7:G$60,'TB Actual'!$D$7:$D$60,$B42)</f>
        <v>-10.3</v>
      </c>
      <c r="E42" s="37" t="n">
        <f aca="false">-SUMIFS('TB Actual'!H$7:H$60,'TB Actual'!$D$7:$D$60,$B42)</f>
        <v>-10.1</v>
      </c>
      <c r="F42" s="37" t="n">
        <f aca="false">-SUMIFS('TB Actual'!I$7:I$60,'TB Actual'!$D$7:$D$60,$B42)</f>
        <v>-9.9</v>
      </c>
      <c r="G42" s="37" t="n">
        <f aca="false">-SUMIFS('TB Actual'!J$7:J$60,'TB Actual'!$D$7:$D$60,$B42)</f>
        <v>-9.6</v>
      </c>
      <c r="H42" s="37" t="n">
        <f aca="false">-SUMIFS('TB Actual'!K$7:K$60,'TB Actual'!$D$7:$D$60,$B42)</f>
        <v>-9.4</v>
      </c>
      <c r="I42" s="37" t="n">
        <f aca="false">-SUMIFS('TB Actual'!L$7:L$60,'TB Actual'!$D$7:$D$60,$B42)</f>
        <v>-9.2</v>
      </c>
      <c r="J42" s="37" t="n">
        <f aca="false">-SUMIFS('TB Actual'!M$7:M$60,'TB Actual'!$D$7:$D$60,$B42)</f>
        <v>-8.9</v>
      </c>
      <c r="K42" s="37" t="n">
        <f aca="false">-SUMIFS('TB Actual'!N$7:N$60,'TB Actual'!$D$7:$D$60,$B42)</f>
        <v>-8.7</v>
      </c>
      <c r="L42" s="37" t="n">
        <f aca="false">-SUMIFS('TB Actual'!O$7:O$60,'TB Actual'!$D$7:$D$60,$B42)</f>
        <v>-8.5</v>
      </c>
      <c r="M42" s="37" t="n">
        <f aca="false">-SUMIFS('TB Actual'!P$7:P$60,'TB Actual'!$D$7:$D$60,$B42)</f>
        <v>-10</v>
      </c>
      <c r="N42" s="37" t="n">
        <f aca="false">-SUMIFS('TB Actual'!Q$7:Q$60,'TB Actual'!$D$7:$D$60,$B42)</f>
        <v>-9.8</v>
      </c>
      <c r="O42" s="38" t="n">
        <f aca="false">SUM(C42:N42)</f>
        <v>-115</v>
      </c>
    </row>
    <row r="43" customFormat="false" ht="15" hidden="false" customHeight="false" outlineLevel="0" collapsed="false">
      <c r="B43" s="36" t="s">
        <v>312</v>
      </c>
      <c r="C43" s="37" t="n">
        <f aca="false">-SUMIFS('TB Actual'!F$7:F$60,'TB Actual'!$D$7:$D$60,$B43)</f>
        <v>-5.9</v>
      </c>
      <c r="D43" s="37" t="n">
        <f aca="false">-SUMIFS('TB Actual'!G$7:G$60,'TB Actual'!$D$7:$D$60,$B43)</f>
        <v>-7.1</v>
      </c>
      <c r="E43" s="37" t="n">
        <f aca="false">-SUMIFS('TB Actual'!H$7:H$60,'TB Actual'!$D$7:$D$60,$B43)</f>
        <v>-8.3</v>
      </c>
      <c r="F43" s="37" t="n">
        <f aca="false">-SUMIFS('TB Actual'!I$7:I$60,'TB Actual'!$D$7:$D$60,$B43)</f>
        <v>-9.4</v>
      </c>
      <c r="G43" s="37" t="n">
        <f aca="false">-SUMIFS('TB Actual'!J$7:J$60,'TB Actual'!$D$7:$D$60,$B43)</f>
        <v>-10.6</v>
      </c>
      <c r="H43" s="37" t="n">
        <f aca="false">-SUMIFS('TB Actual'!K$7:K$60,'TB Actual'!$D$7:$D$60,$B43)</f>
        <v>-11.8</v>
      </c>
      <c r="I43" s="37" t="n">
        <f aca="false">-SUMIFS('TB Actual'!L$7:L$60,'TB Actual'!$D$7:$D$60,$B43)</f>
        <v>-9.4</v>
      </c>
      <c r="J43" s="37" t="n">
        <f aca="false">-SUMIFS('TB Actual'!M$7:M$60,'TB Actual'!$D$7:$D$60,$B43)</f>
        <v>-8.3</v>
      </c>
      <c r="K43" s="37" t="n">
        <f aca="false">-SUMIFS('TB Actual'!N$7:N$60,'TB Actual'!$D$7:$D$60,$B43)</f>
        <v>-10.6</v>
      </c>
      <c r="L43" s="37" t="n">
        <f aca="false">-SUMIFS('TB Actual'!O$7:O$60,'TB Actual'!$D$7:$D$60,$B43)</f>
        <v>-11.8</v>
      </c>
      <c r="M43" s="37" t="n">
        <f aca="false">-SUMIFS('TB Actual'!P$7:P$60,'TB Actual'!$D$7:$D$60,$B43)</f>
        <v>-13</v>
      </c>
      <c r="N43" s="37" t="n">
        <f aca="false">-SUMIFS('TB Actual'!Q$7:Q$60,'TB Actual'!$D$7:$D$60,$B43)</f>
        <v>-11.8</v>
      </c>
      <c r="O43" s="38" t="n">
        <f aca="false">SUM(C43:N43)</f>
        <v>-118</v>
      </c>
    </row>
    <row r="44" customFormat="false" ht="15" hidden="false" customHeight="false" outlineLevel="0" collapsed="false">
      <c r="B44" s="39" t="s">
        <v>342</v>
      </c>
      <c r="C44" s="40" t="n">
        <f aca="false">SUM(C41:C43)+C38</f>
        <v>488.9</v>
      </c>
      <c r="D44" s="40" t="n">
        <f aca="false">SUM(D41:D43)+D38</f>
        <v>399.9</v>
      </c>
      <c r="E44" s="40" t="n">
        <f aca="false">SUM(E41:E43)+E38</f>
        <v>316.8</v>
      </c>
      <c r="F44" s="40" t="n">
        <f aca="false">SUM(F41:F43)+F38</f>
        <v>232.3</v>
      </c>
      <c r="G44" s="40" t="n">
        <f aca="false">SUM(G41:G43)+G38</f>
        <v>188.8</v>
      </c>
      <c r="H44" s="40" t="n">
        <f aca="false">SUM(H41:H43)+H38</f>
        <v>81.9000000000001</v>
      </c>
      <c r="I44" s="40" t="n">
        <f aca="false">SUM(I41:I43)+I38</f>
        <v>89.9000000000003</v>
      </c>
      <c r="J44" s="40" t="n">
        <f aca="false">SUM(J41:J43)+J38</f>
        <v>127.7</v>
      </c>
      <c r="K44" s="40" t="n">
        <f aca="false">SUM(K41:K43)+K38</f>
        <v>218.9</v>
      </c>
      <c r="L44" s="40" t="n">
        <f aca="false">SUM(L41:L43)+L38</f>
        <v>350.699999999999</v>
      </c>
      <c r="M44" s="40" t="n">
        <f aca="false">SUM(M41:M43)+M38</f>
        <v>343.700000000001</v>
      </c>
      <c r="N44" s="40" t="n">
        <f aca="false">SUM(N41:N43)+N38</f>
        <v>12.3000000000002</v>
      </c>
      <c r="O44" s="40" t="n">
        <f aca="false">SUM(O41:O43)+O38</f>
        <v>2851.8</v>
      </c>
    </row>
    <row r="46" customFormat="false" ht="15" hidden="false" customHeight="false" outlineLevel="0" collapsed="false">
      <c r="B46" s="11" t="s">
        <v>343</v>
      </c>
    </row>
    <row r="47" customFormat="false" ht="15" hidden="false" customHeight="false" outlineLevel="0" collapsed="false">
      <c r="B47" s="36" t="s">
        <v>315</v>
      </c>
      <c r="C47" s="37" t="n">
        <f aca="false">-SUMIFS('TB Actual'!F$7:F$60,'TB Actual'!$D$7:$D$60,$B47)</f>
        <v>-49.4</v>
      </c>
      <c r="D47" s="37" t="n">
        <f aca="false">-SUMIFS('TB Actual'!G$7:G$60,'TB Actual'!$D$7:$D$60,$B47)</f>
        <v>-40.4</v>
      </c>
      <c r="E47" s="37" t="n">
        <f aca="false">-SUMIFS('TB Actual'!H$7:H$60,'TB Actual'!$D$7:$D$60,$B47)</f>
        <v>-32</v>
      </c>
      <c r="F47" s="37" t="n">
        <f aca="false">-SUMIFS('TB Actual'!I$7:I$60,'TB Actual'!$D$7:$D$60,$B47)</f>
        <v>-23.5</v>
      </c>
      <c r="G47" s="37" t="n">
        <f aca="false">-SUMIFS('TB Actual'!J$7:J$60,'TB Actual'!$D$7:$D$60,$B47)</f>
        <v>-19.1</v>
      </c>
      <c r="H47" s="37" t="n">
        <f aca="false">-SUMIFS('TB Actual'!K$7:K$60,'TB Actual'!$D$7:$D$60,$B47)</f>
        <v>-8.3</v>
      </c>
      <c r="I47" s="37" t="n">
        <f aca="false">-SUMIFS('TB Actual'!L$7:L$60,'TB Actual'!$D$7:$D$60,$B47)</f>
        <v>-9.1</v>
      </c>
      <c r="J47" s="37" t="n">
        <f aca="false">-SUMIFS('TB Actual'!M$7:M$60,'TB Actual'!$D$7:$D$60,$B47)</f>
        <v>-12.9</v>
      </c>
      <c r="K47" s="37" t="n">
        <f aca="false">-SUMIFS('TB Actual'!N$7:N$60,'TB Actual'!$D$7:$D$60,$B47)</f>
        <v>-22.1</v>
      </c>
      <c r="L47" s="37" t="n">
        <f aca="false">-SUMIFS('TB Actual'!O$7:O$60,'TB Actual'!$D$7:$D$60,$B47)</f>
        <v>-35.4</v>
      </c>
      <c r="M47" s="37" t="n">
        <f aca="false">-SUMIFS('TB Actual'!P$7:P$60,'TB Actual'!$D$7:$D$60,$B47)</f>
        <v>-34.7</v>
      </c>
      <c r="N47" s="37" t="n">
        <f aca="false">-SUMIFS('TB Actual'!Q$7:Q$60,'TB Actual'!$D$7:$D$60,$B47)</f>
        <v>-1.3</v>
      </c>
      <c r="O47" s="38" t="n">
        <f aca="false">SUM(C47:N47)</f>
        <v>-288.2</v>
      </c>
    </row>
    <row r="48" customFormat="false" ht="15" hidden="false" customHeight="false" outlineLevel="0" collapsed="false">
      <c r="B48" s="36" t="s">
        <v>319</v>
      </c>
      <c r="C48" s="37" t="n">
        <f aca="false">-SUMIFS('TB Actual'!F$7:F$60,'TB Actual'!$D$7:$D$60,$B48)</f>
        <v>2.1</v>
      </c>
      <c r="D48" s="37" t="n">
        <f aca="false">-SUMIFS('TB Actual'!G$7:G$60,'TB Actual'!$D$7:$D$60,$B48)</f>
        <v>2.1</v>
      </c>
      <c r="E48" s="37" t="n">
        <f aca="false">-SUMIFS('TB Actual'!H$7:H$60,'TB Actual'!$D$7:$D$60,$B48)</f>
        <v>2.1</v>
      </c>
      <c r="F48" s="37" t="n">
        <f aca="false">-SUMIFS('TB Actual'!I$7:I$60,'TB Actual'!$D$7:$D$60,$B48)</f>
        <v>2.1</v>
      </c>
      <c r="G48" s="37" t="n">
        <f aca="false">-SUMIFS('TB Actual'!J$7:J$60,'TB Actual'!$D$7:$D$60,$B48)</f>
        <v>2.1</v>
      </c>
      <c r="H48" s="37" t="n">
        <f aca="false">-SUMIFS('TB Actual'!K$7:K$60,'TB Actual'!$D$7:$D$60,$B48)</f>
        <v>2.1</v>
      </c>
      <c r="I48" s="37" t="n">
        <f aca="false">-SUMIFS('TB Actual'!L$7:L$60,'TB Actual'!$D$7:$D$60,$B48)</f>
        <v>2.1</v>
      </c>
      <c r="J48" s="37" t="n">
        <f aca="false">-SUMIFS('TB Actual'!M$7:M$60,'TB Actual'!$D$7:$D$60,$B48)</f>
        <v>2.1</v>
      </c>
      <c r="K48" s="37" t="n">
        <f aca="false">-SUMIFS('TB Actual'!N$7:N$60,'TB Actual'!$D$7:$D$60,$B48)</f>
        <v>2.1</v>
      </c>
      <c r="L48" s="37" t="n">
        <f aca="false">-SUMIFS('TB Actual'!O$7:O$60,'TB Actual'!$D$7:$D$60,$B48)</f>
        <v>2.1</v>
      </c>
      <c r="M48" s="37" t="n">
        <f aca="false">-SUMIFS('TB Actual'!P$7:P$60,'TB Actual'!$D$7:$D$60,$B48)</f>
        <v>2.1</v>
      </c>
      <c r="N48" s="37" t="n">
        <f aca="false">-SUMIFS('TB Actual'!Q$7:Q$60,'TB Actual'!$D$7:$D$60,$B48)</f>
        <v>2.1</v>
      </c>
      <c r="O48" s="38" t="n">
        <f aca="false">SUM(C48:N48)</f>
        <v>25.2</v>
      </c>
    </row>
    <row r="49" customFormat="false" ht="15" hidden="false" customHeight="false" outlineLevel="0" collapsed="false">
      <c r="B49" s="39" t="s">
        <v>344</v>
      </c>
      <c r="C49" s="40" t="n">
        <f aca="false">SUM(C47:C48)+C44</f>
        <v>441.6</v>
      </c>
      <c r="D49" s="40" t="n">
        <f aca="false">SUM(D47:D48)+D44</f>
        <v>361.6</v>
      </c>
      <c r="E49" s="40" t="n">
        <f aca="false">SUM(E47:E48)+E44</f>
        <v>286.9</v>
      </c>
      <c r="F49" s="40" t="n">
        <f aca="false">SUM(F47:F48)+F44</f>
        <v>210.9</v>
      </c>
      <c r="G49" s="40" t="n">
        <f aca="false">SUM(G47:G48)+G44</f>
        <v>171.8</v>
      </c>
      <c r="H49" s="40" t="n">
        <f aca="false">SUM(H47:H48)+H44</f>
        <v>75.7000000000001</v>
      </c>
      <c r="I49" s="40" t="n">
        <f aca="false">SUM(I47:I48)+I44</f>
        <v>82.9000000000003</v>
      </c>
      <c r="J49" s="40" t="n">
        <f aca="false">SUM(J47:J48)+J44</f>
        <v>116.9</v>
      </c>
      <c r="K49" s="40" t="n">
        <f aca="false">SUM(K47:K48)+K44</f>
        <v>198.9</v>
      </c>
      <c r="L49" s="40" t="n">
        <f aca="false">SUM(L47:L48)+L44</f>
        <v>317.399999999999</v>
      </c>
      <c r="M49" s="40" t="n">
        <f aca="false">SUM(M47:M48)+M44</f>
        <v>311.100000000001</v>
      </c>
      <c r="N49" s="40" t="n">
        <f aca="false">SUM(N47:N48)+N44</f>
        <v>13.1000000000002</v>
      </c>
      <c r="O49" s="40" t="n">
        <f aca="false">SUM(O47:O48)+O44</f>
        <v>2588.8</v>
      </c>
    </row>
    <row r="51" customFormat="false" ht="15" hidden="false" customHeight="false" outlineLevel="0" collapsed="false">
      <c r="B51" s="20" t="s">
        <v>345</v>
      </c>
    </row>
    <row r="52" customFormat="false" ht="15" hidden="false" customHeight="false" outlineLevel="0" collapsed="false">
      <c r="B52" s="10" t="s">
        <v>346</v>
      </c>
      <c r="C52" s="41" t="n">
        <f aca="false">IFERROR(C19/C13,0)</f>
        <v>0.39734921657008</v>
      </c>
      <c r="D52" s="41" t="n">
        <f aca="false">IFERROR(D19/D13,0)</f>
        <v>0.397133649932157</v>
      </c>
      <c r="E52" s="41" t="n">
        <f aca="false">IFERROR(E19/E13,0)</f>
        <v>0.395887354519689</v>
      </c>
      <c r="F52" s="41" t="n">
        <f aca="false">IFERROR(F19/F13,0)</f>
        <v>0.395147969717825</v>
      </c>
      <c r="G52" s="41" t="n">
        <f aca="false">IFERROR(G19/G13,0)</f>
        <v>0.394688815225893</v>
      </c>
      <c r="H52" s="41" t="n">
        <f aca="false">IFERROR(H19/H13,0)</f>
        <v>0.373242315238718</v>
      </c>
      <c r="I52" s="41" t="n">
        <f aca="false">IFERROR(I19/I13,0)</f>
        <v>0.393454964130724</v>
      </c>
      <c r="J52" s="41" t="n">
        <f aca="false">IFERROR(J19/J13,0)</f>
        <v>0.394220805101634</v>
      </c>
      <c r="K52" s="41" t="n">
        <f aca="false">IFERROR(K19/K13,0)</f>
        <v>0.395692673168292</v>
      </c>
      <c r="L52" s="41" t="n">
        <f aca="false">IFERROR(L19/L13,0)</f>
        <v>0.395594760475064</v>
      </c>
      <c r="M52" s="41" t="n">
        <f aca="false">IFERROR(M19/M13,0)</f>
        <v>0.378497640607066</v>
      </c>
      <c r="N52" s="41" t="n">
        <f aca="false">IFERROR(N19/N13,0)</f>
        <v>0.391233160026427</v>
      </c>
      <c r="O52" s="41" t="n">
        <f aca="false">IFERROR(O19/O13,0)</f>
        <v>0.392001716529009</v>
      </c>
    </row>
    <row r="53" customFormat="false" ht="15" hidden="false" customHeight="false" outlineLevel="0" collapsed="false">
      <c r="B53" s="10" t="s">
        <v>347</v>
      </c>
      <c r="C53" s="41" t="n">
        <f aca="false">IFERROR(C32/C13,0)</f>
        <v>0.163178793732561</v>
      </c>
      <c r="D53" s="41" t="n">
        <f aca="false">IFERROR(D32/D13,0)</f>
        <v>0.147020578923564</v>
      </c>
      <c r="E53" s="41" t="n">
        <f aca="false">IFERROR(E32/E13,0)</f>
        <v>0.132062956039317</v>
      </c>
      <c r="F53" s="41" t="n">
        <f aca="false">IFERROR(F32/F13,0)</f>
        <v>0.12157604955265</v>
      </c>
      <c r="G53" s="41" t="n">
        <f aca="false">IFERROR(G32/G13,0)</f>
        <v>0.115721255912697</v>
      </c>
      <c r="H53" s="41" t="n">
        <f aca="false">IFERROR(H32/H13,0)</f>
        <v>0.0837148463047744</v>
      </c>
      <c r="I53" s="41" t="n">
        <f aca="false">IFERROR(I32/I13,0)</f>
        <v>0.0925958728190595</v>
      </c>
      <c r="J53" s="41" t="n">
        <f aca="false">IFERROR(J32/J13,0)</f>
        <v>0.0978477481068154</v>
      </c>
      <c r="K53" s="41" t="n">
        <f aca="false">IFERROR(K32/K13,0)</f>
        <v>0.105901475368842</v>
      </c>
      <c r="L53" s="41" t="n">
        <f aca="false">IFERROR(L32/L13,0)</f>
        <v>0.125036533198714</v>
      </c>
      <c r="M53" s="41" t="n">
        <f aca="false">IFERROR(M32/M13,0)</f>
        <v>0.118938910853208</v>
      </c>
      <c r="N53" s="41" t="n">
        <f aca="false">IFERROR(N32/N13,0)</f>
        <v>0.038347743658978</v>
      </c>
      <c r="O53" s="41" t="n">
        <f aca="false">IFERROR(O32/O13,0)</f>
        <v>0.113876335740359</v>
      </c>
    </row>
    <row r="54" customFormat="false" ht="15" hidden="false" customHeight="false" outlineLevel="0" collapsed="false">
      <c r="B54" s="10" t="s">
        <v>348</v>
      </c>
      <c r="C54" s="41" t="n">
        <f aca="false">IFERROR(C38/C13,0)</f>
        <v>0.139085640695428</v>
      </c>
      <c r="D54" s="41" t="n">
        <f aca="false">IFERROR(D38/D13,0)</f>
        <v>0.121636137494346</v>
      </c>
      <c r="E54" s="41" t="n">
        <f aca="false">IFERROR(E38/E13,0)</f>
        <v>0.104987034915275</v>
      </c>
      <c r="F54" s="41" t="n">
        <f aca="false">IFERROR(F38/F13,0)</f>
        <v>0.0906744666207846</v>
      </c>
      <c r="G54" s="41" t="n">
        <f aca="false">IFERROR(G38/G13,0)</f>
        <v>0.0822749450631309</v>
      </c>
      <c r="H54" s="41" t="n">
        <f aca="false">IFERROR(H38/H13,0)</f>
        <v>0.0470078482668411</v>
      </c>
      <c r="I54" s="41" t="n">
        <f aca="false">IFERROR(I38/I13,0)</f>
        <v>0.0528296873616156</v>
      </c>
      <c r="J54" s="41" t="n">
        <f aca="false">IFERROR(J38/J13,0)</f>
        <v>0.0620565962534874</v>
      </c>
      <c r="K54" s="41" t="n">
        <f aca="false">IFERROR(K38/K13,0)</f>
        <v>0.0778319579894975</v>
      </c>
      <c r="L54" s="41" t="n">
        <f aca="false">IFERROR(L38/L13,0)</f>
        <v>0.101177033238568</v>
      </c>
      <c r="M54" s="41" t="n">
        <f aca="false">IFERROR(M38/M13,0)</f>
        <v>0.0960336691748503</v>
      </c>
      <c r="N54" s="41" t="n">
        <f aca="false">IFERROR(N38/N13,0)</f>
        <v>0.0125527820067217</v>
      </c>
      <c r="O54" s="41" t="n">
        <f aca="false">IFERROR(O38/O13,0)</f>
        <v>0.085331094075326</v>
      </c>
    </row>
    <row r="55" customFormat="false" ht="15" hidden="false" customHeight="false" outlineLevel="0" collapsed="false">
      <c r="B55" s="10" t="s">
        <v>349</v>
      </c>
      <c r="C55" s="41" t="n">
        <f aca="false">IFERROR(C49/C13,0)</f>
        <v>0.118480360592402</v>
      </c>
      <c r="D55" s="41" t="n">
        <f aca="false">IFERROR(D49/D13,0)</f>
        <v>0.102216191768431</v>
      </c>
      <c r="E55" s="41" t="n">
        <f aca="false">IFERROR(E49/E13,0)</f>
        <v>0.0865042513417355</v>
      </c>
      <c r="F55" s="41" t="n">
        <f aca="false">IFERROR(F49/F13,0)</f>
        <v>0.0725739848589126</v>
      </c>
      <c r="G55" s="41" t="n">
        <f aca="false">IFERROR(G49/G13,0)</f>
        <v>0.0639874855674328</v>
      </c>
      <c r="H55" s="41" t="n">
        <f aca="false">IFERROR(H49/H13,0)</f>
        <v>0.0309434270765206</v>
      </c>
      <c r="I55" s="41" t="n">
        <f aca="false">IFERROR(I49/I13,0)</f>
        <v>0.036710654503587</v>
      </c>
      <c r="J55" s="41" t="n">
        <f aca="false">IFERROR(J49/J13,0)</f>
        <v>0.0465922678357911</v>
      </c>
      <c r="K55" s="41" t="n">
        <f aca="false">IFERROR(K49/K13,0)</f>
        <v>0.0621717929482371</v>
      </c>
      <c r="L55" s="41" t="n">
        <f aca="false">IFERROR(L49/L13,0)</f>
        <v>0.0843319074315166</v>
      </c>
      <c r="M55" s="41" t="n">
        <f aca="false">IFERROR(M49/M13,0)</f>
        <v>0.0793521234536412</v>
      </c>
      <c r="N55" s="41" t="n">
        <f aca="false">IFERROR(N49/N13,0)</f>
        <v>0.00376296211185483</v>
      </c>
      <c r="O55" s="41" t="n">
        <f aca="false">IFERROR(O49/O13,0)</f>
        <v>0.0685763934877856</v>
      </c>
    </row>
    <row r="57" customFormat="false" ht="15" hidden="false" customHeight="false" outlineLevel="0" collapsed="false">
      <c r="B57" s="13" t="s">
        <v>350</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552"/>
    <pageSetUpPr fitToPage="true"/>
  </sheetPr>
  <dimension ref="A1:N5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8"/>
    <col collapsed="false" customWidth="true" hidden="false" outlineLevel="0" max="5" min="3" style="0" width="11"/>
    <col collapsed="false" customWidth="true" hidden="false" outlineLevel="0" max="6" min="6" style="0" width="9"/>
    <col collapsed="false" customWidth="true" hidden="false" outlineLevel="0" max="7" min="7" style="0" width="2"/>
    <col collapsed="false" customWidth="true" hidden="false" outlineLevel="0" max="10" min="8" style="0" width="11"/>
    <col collapsed="false" customWidth="true" hidden="false" outlineLevel="0" max="11" min="11" style="0" width="9"/>
    <col collapsed="false" customWidth="true" hidden="false" outlineLevel="0" max="12" min="12" style="0" width="2"/>
    <col collapsed="false" customWidth="true" hidden="false" outlineLevel="0" max="14" min="13" style="0" width="10"/>
  </cols>
  <sheetData>
    <row r="1" customFormat="false" ht="15" hidden="false" customHeight="false" outlineLevel="0" collapsed="false">
      <c r="A1" s="11" t="s">
        <v>0</v>
      </c>
    </row>
    <row r="2" customFormat="false" ht="19.7" hidden="false" customHeight="false" outlineLevel="0" collapsed="false">
      <c r="A2" s="12" t="s">
        <v>351</v>
      </c>
    </row>
    <row r="3" customFormat="false" ht="15" hidden="false" customHeight="false" outlineLevel="0" collapsed="false">
      <c r="A3" s="13" t="s">
        <v>352</v>
      </c>
    </row>
    <row r="5" customFormat="false" ht="15" hidden="false" customHeight="false" outlineLevel="0" collapsed="false">
      <c r="C5" s="42" t="s">
        <v>353</v>
      </c>
      <c r="H5" s="42" t="s">
        <v>354</v>
      </c>
      <c r="M5" s="42" t="s">
        <v>355</v>
      </c>
    </row>
    <row r="6" customFormat="false" ht="15" hidden="false" customHeight="false" outlineLevel="0" collapsed="false">
      <c r="B6" s="15"/>
      <c r="C6" s="15" t="s">
        <v>166</v>
      </c>
      <c r="D6" s="15" t="s">
        <v>167</v>
      </c>
      <c r="E6" s="15" t="s">
        <v>356</v>
      </c>
      <c r="F6" s="15" t="s">
        <v>357</v>
      </c>
      <c r="H6" s="15" t="s">
        <v>166</v>
      </c>
      <c r="I6" s="15" t="s">
        <v>167</v>
      </c>
      <c r="J6" s="15" t="s">
        <v>356</v>
      </c>
      <c r="K6" s="15" t="s">
        <v>357</v>
      </c>
      <c r="M6" s="15" t="s">
        <v>166</v>
      </c>
      <c r="N6" s="15" t="s">
        <v>167</v>
      </c>
    </row>
    <row r="8" customFormat="false" ht="15" hidden="false" customHeight="false" outlineLevel="0" collapsed="false">
      <c r="B8" s="11" t="s">
        <v>333</v>
      </c>
    </row>
    <row r="9" customFormat="false" ht="15" hidden="false" customHeight="false" outlineLevel="0" collapsed="false">
      <c r="B9" s="36" t="s">
        <v>251</v>
      </c>
      <c r="C9" s="37" t="n">
        <f aca="false">-SUMIFS('TB Actual'!Q$7:Q$60,'TB Actual'!$D$7:$D$60,$B9)</f>
        <v>3811</v>
      </c>
      <c r="D9" s="37" t="n">
        <f aca="false">-SUMIFS('TB Budget'!Q$7:Q$60,'TB Budget'!$D$7:$D$60,$B9)</f>
        <v>3675.1</v>
      </c>
      <c r="E9" s="43" t="n">
        <f aca="false">C9-D9</f>
        <v>135.9</v>
      </c>
      <c r="F9" s="41" t="n">
        <f aca="false">IFERROR(E9/ABS(D9),"n/a")</f>
        <v>0.0369785856167179</v>
      </c>
      <c r="H9" s="37" t="n">
        <f aca="false">-(SUMIFS('TB Actual'!F$7:F$60,'TB Actual'!$D$7:$D$60,$B9)+SUMIFS('TB Actual'!G$7:G$60,'TB Actual'!$D$7:$D$60,$B9)+SUMIFS('TB Actual'!H$7:H$60,'TB Actual'!$D$7:$D$60,$B9)+SUMIFS('TB Actual'!I$7:I$60,'TB Actual'!$D$7:$D$60,$B9)+SUMIFS('TB Actual'!J$7:J$60,'TB Actual'!$D$7:$D$60,$B9)+SUMIFS('TB Actual'!K$7:K$60,'TB Actual'!$D$7:$D$60,$B9)+SUMIFS('TB Actual'!L$7:L$60,'TB Actual'!$D$7:$D$60,$B9)+SUMIFS('TB Actual'!M$7:M$60,'TB Actual'!$D$7:$D$60,$B9)+SUMIFS('TB Actual'!N$7:N$60,'TB Actual'!$D$7:$D$60,$B9)+SUMIFS('TB Actual'!O$7:O$60,'TB Actual'!$D$7:$D$60,$B9)+SUMIFS('TB Actual'!P$7:P$60,'TB Actual'!$D$7:$D$60,$B9)+SUMIFS('TB Actual'!Q$7:Q$60,'TB Actual'!$D$7:$D$60,$B9))</f>
        <v>41200.2</v>
      </c>
      <c r="I9" s="37" t="n">
        <f aca="false">-(SUMIFS('TB Budget'!F$7:F$60,'TB Budget'!$D$7:$D$60,$B9)+SUMIFS('TB Budget'!G$7:G$60,'TB Budget'!$D$7:$D$60,$B9)+SUMIFS('TB Budget'!H$7:H$60,'TB Budget'!$D$7:$D$60,$B9)+SUMIFS('TB Budget'!I$7:I$60,'TB Budget'!$D$7:$D$60,$B9)+SUMIFS('TB Budget'!J$7:J$60,'TB Budget'!$D$7:$D$60,$B9)+SUMIFS('TB Budget'!K$7:K$60,'TB Budget'!$D$7:$D$60,$B9)+SUMIFS('TB Budget'!L$7:L$60,'TB Budget'!$D$7:$D$60,$B9)+SUMIFS('TB Budget'!M$7:M$60,'TB Budget'!$D$7:$D$60,$B9)+SUMIFS('TB Budget'!N$7:N$60,'TB Budget'!$D$7:$D$60,$B9)+SUMIFS('TB Budget'!O$7:O$60,'TB Budget'!$D$7:$D$60,$B9)+SUMIFS('TB Budget'!P$7:P$60,'TB Budget'!$D$7:$D$60,$B9)+SUMIFS('TB Budget'!Q$7:Q$60,'TB Budget'!$D$7:$D$60,$B9))</f>
        <v>42000.3</v>
      </c>
      <c r="J9" s="43" t="n">
        <f aca="false">H9-I9</f>
        <v>-800.099999999999</v>
      </c>
      <c r="K9" s="41" t="n">
        <f aca="false">IFERROR(J9/ABS(I9),"n/a")</f>
        <v>-0.0190498639295433</v>
      </c>
      <c r="M9" s="41" t="n">
        <f aca="false">IFERROR(H9/H$13,0)</f>
        <v>1.09137868007396</v>
      </c>
      <c r="N9" s="41" t="n">
        <f aca="false">IFERROR(I9/I$13,0)</f>
        <v>1.0863682451657</v>
      </c>
    </row>
    <row r="10" customFormat="false" ht="15" hidden="false" customHeight="false" outlineLevel="0" collapsed="false">
      <c r="B10" s="36" t="s">
        <v>86</v>
      </c>
      <c r="C10" s="37" t="n">
        <f aca="false">-SUMIFS('TB Actual'!Q$7:Q$60,'TB Actual'!$D$7:$D$60,$B10)</f>
        <v>-122</v>
      </c>
      <c r="D10" s="37" t="n">
        <f aca="false">-SUMIFS('TB Budget'!Q$7:Q$60,'TB Budget'!$D$7:$D$60,$B10)</f>
        <v>-113.9</v>
      </c>
      <c r="E10" s="43" t="n">
        <f aca="false">C10-D10</f>
        <v>-8.09999999999999</v>
      </c>
      <c r="F10" s="41" t="n">
        <f aca="false">IFERROR(E10/ABS(D10),"n/a")</f>
        <v>-0.0711150131694468</v>
      </c>
      <c r="H10" s="37" t="n">
        <f aca="false">-(SUMIFS('TB Actual'!F$7:F$60,'TB Actual'!$D$7:$D$60,$B10)+SUMIFS('TB Actual'!G$7:G$60,'TB Actual'!$D$7:$D$60,$B10)+SUMIFS('TB Actual'!H$7:H$60,'TB Actual'!$D$7:$D$60,$B10)+SUMIFS('TB Actual'!I$7:I$60,'TB Actual'!$D$7:$D$60,$B10)+SUMIFS('TB Actual'!J$7:J$60,'TB Actual'!$D$7:$D$60,$B10)+SUMIFS('TB Actual'!K$7:K$60,'TB Actual'!$D$7:$D$60,$B10)+SUMIFS('TB Actual'!L$7:L$60,'TB Actual'!$D$7:$D$60,$B10)+SUMIFS('TB Actual'!M$7:M$60,'TB Actual'!$D$7:$D$60,$B10)+SUMIFS('TB Actual'!N$7:N$60,'TB Actual'!$D$7:$D$60,$B10)+SUMIFS('TB Actual'!O$7:O$60,'TB Actual'!$D$7:$D$60,$B10)+SUMIFS('TB Actual'!P$7:P$60,'TB Actual'!$D$7:$D$60,$B10)+SUMIFS('TB Actual'!Q$7:Q$60,'TB Actual'!$D$7:$D$60,$B10))</f>
        <v>-1318.5</v>
      </c>
      <c r="I10" s="37" t="n">
        <f aca="false">-(SUMIFS('TB Budget'!F$7:F$60,'TB Budget'!$D$7:$D$60,$B10)+SUMIFS('TB Budget'!G$7:G$60,'TB Budget'!$D$7:$D$60,$B10)+SUMIFS('TB Budget'!H$7:H$60,'TB Budget'!$D$7:$D$60,$B10)+SUMIFS('TB Budget'!I$7:I$60,'TB Budget'!$D$7:$D$60,$B10)+SUMIFS('TB Budget'!J$7:J$60,'TB Budget'!$D$7:$D$60,$B10)+SUMIFS('TB Budget'!K$7:K$60,'TB Budget'!$D$7:$D$60,$B10)+SUMIFS('TB Budget'!L$7:L$60,'TB Budget'!$D$7:$D$60,$B10)+SUMIFS('TB Budget'!M$7:M$60,'TB Budget'!$D$7:$D$60,$B10)+SUMIFS('TB Budget'!N$7:N$60,'TB Budget'!$D$7:$D$60,$B10)+SUMIFS('TB Budget'!O$7:O$60,'TB Budget'!$D$7:$D$60,$B10)+SUMIFS('TB Budget'!P$7:P$60,'TB Budget'!$D$7:$D$60,$B10)+SUMIFS('TB Budget'!Q$7:Q$60,'TB Budget'!$D$7:$D$60,$B10))</f>
        <v>-1302.2</v>
      </c>
      <c r="J10" s="43" t="n">
        <f aca="false">H10-I10</f>
        <v>-16.3</v>
      </c>
      <c r="K10" s="41" t="n">
        <f aca="false">IFERROR(J10/ABS(I10),"n/a")</f>
        <v>-0.0125172784518507</v>
      </c>
      <c r="M10" s="41" t="n">
        <f aca="false">IFERROR(H10/H$13,0)</f>
        <v>-0.0349265971931572</v>
      </c>
      <c r="N10" s="41" t="n">
        <f aca="false">IFERROR(I10/I$13,0)</f>
        <v>-0.033682348194055</v>
      </c>
    </row>
    <row r="11" customFormat="false" ht="15" hidden="false" customHeight="false" outlineLevel="0" collapsed="false">
      <c r="B11" s="36" t="s">
        <v>260</v>
      </c>
      <c r="C11" s="37" t="n">
        <f aca="false">-SUMIFS('TB Actual'!Q$7:Q$60,'TB Actual'!$D$7:$D$60,$B11)</f>
        <v>-173.4</v>
      </c>
      <c r="D11" s="37" t="n">
        <f aca="false">-SUMIFS('TB Budget'!Q$7:Q$60,'TB Budget'!$D$7:$D$60,$B11)</f>
        <v>-147</v>
      </c>
      <c r="E11" s="43" t="n">
        <f aca="false">C11-D11</f>
        <v>-26.4</v>
      </c>
      <c r="F11" s="41" t="n">
        <f aca="false">IFERROR(E11/ABS(D11),"n/a")</f>
        <v>-0.179591836734694</v>
      </c>
      <c r="H11" s="37" t="n">
        <f aca="false">-(SUMIFS('TB Actual'!F$7:F$60,'TB Actual'!$D$7:$D$60,$B11)+SUMIFS('TB Actual'!G$7:G$60,'TB Actual'!$D$7:$D$60,$B11)+SUMIFS('TB Actual'!H$7:H$60,'TB Actual'!$D$7:$D$60,$B11)+SUMIFS('TB Actual'!I$7:I$60,'TB Actual'!$D$7:$D$60,$B11)+SUMIFS('TB Actual'!J$7:J$60,'TB Actual'!$D$7:$D$60,$B11)+SUMIFS('TB Actual'!K$7:K$60,'TB Actual'!$D$7:$D$60,$B11)+SUMIFS('TB Actual'!L$7:L$60,'TB Actual'!$D$7:$D$60,$B11)+SUMIFS('TB Actual'!M$7:M$60,'TB Actual'!$D$7:$D$60,$B11)+SUMIFS('TB Actual'!N$7:N$60,'TB Actual'!$D$7:$D$60,$B11)+SUMIFS('TB Actual'!O$7:O$60,'TB Actual'!$D$7:$D$60,$B11)+SUMIFS('TB Actual'!P$7:P$60,'TB Actual'!$D$7:$D$60,$B11)+SUMIFS('TB Actual'!Q$7:Q$60,'TB Actual'!$D$7:$D$60,$B11))</f>
        <v>-1760.4</v>
      </c>
      <c r="I11" s="37" t="n">
        <f aca="false">-(SUMIFS('TB Budget'!F$7:F$60,'TB Budget'!$D$7:$D$60,$B11)+SUMIFS('TB Budget'!G$7:G$60,'TB Budget'!$D$7:$D$60,$B11)+SUMIFS('TB Budget'!H$7:H$60,'TB Budget'!$D$7:$D$60,$B11)+SUMIFS('TB Budget'!I$7:I$60,'TB Budget'!$D$7:$D$60,$B11)+SUMIFS('TB Budget'!J$7:J$60,'TB Budget'!$D$7:$D$60,$B11)+SUMIFS('TB Budget'!K$7:K$60,'TB Budget'!$D$7:$D$60,$B11)+SUMIFS('TB Budget'!L$7:L$60,'TB Budget'!$D$7:$D$60,$B11)+SUMIFS('TB Budget'!M$7:M$60,'TB Budget'!$D$7:$D$60,$B11)+SUMIFS('TB Budget'!N$7:N$60,'TB Budget'!$D$7:$D$60,$B11)+SUMIFS('TB Budget'!O$7:O$60,'TB Budget'!$D$7:$D$60,$B11)+SUMIFS('TB Budget'!P$7:P$60,'TB Budget'!$D$7:$D$60,$B11)+SUMIFS('TB Budget'!Q$7:Q$60,'TB Budget'!$D$7:$D$60,$B11))</f>
        <v>-1680</v>
      </c>
      <c r="J11" s="43" t="n">
        <f aca="false">H11-I11</f>
        <v>-80.3999999999999</v>
      </c>
      <c r="K11" s="41" t="n">
        <f aca="false">IFERROR(J11/ABS(I11),"n/a")</f>
        <v>-0.0478571428571428</v>
      </c>
      <c r="M11" s="41" t="n">
        <f aca="false">IFERROR(H11/H$13,0)</f>
        <v>-0.0466323714060174</v>
      </c>
      <c r="N11" s="41" t="n">
        <f aca="false">IFERROR(I11/I$13,0)</f>
        <v>-0.0434544194179177</v>
      </c>
    </row>
    <row r="12" customFormat="false" ht="15" hidden="false" customHeight="false" outlineLevel="0" collapsed="false">
      <c r="B12" s="36" t="s">
        <v>93</v>
      </c>
      <c r="C12" s="37" t="n">
        <f aca="false">-SUMIFS('TB Actual'!Q$7:Q$60,'TB Actual'!$D$7:$D$60,$B12)</f>
        <v>-34.3</v>
      </c>
      <c r="D12" s="37" t="n">
        <f aca="false">-SUMIFS('TB Budget'!Q$7:Q$60,'TB Budget'!$D$7:$D$60,$B12)</f>
        <v>-31.2</v>
      </c>
      <c r="E12" s="43" t="n">
        <f aca="false">C12-D12</f>
        <v>-3.1</v>
      </c>
      <c r="F12" s="41" t="n">
        <f aca="false">IFERROR(E12/ABS(D12),"n/a")</f>
        <v>-0.0993589743589743</v>
      </c>
      <c r="H12" s="37" t="n">
        <f aca="false">-(SUMIFS('TB Actual'!F$7:F$60,'TB Actual'!$D$7:$D$60,$B12)+SUMIFS('TB Actual'!G$7:G$60,'TB Actual'!$D$7:$D$60,$B12)+SUMIFS('TB Actual'!H$7:H$60,'TB Actual'!$D$7:$D$60,$B12)+SUMIFS('TB Actual'!I$7:I$60,'TB Actual'!$D$7:$D$60,$B12)+SUMIFS('TB Actual'!J$7:J$60,'TB Actual'!$D$7:$D$60,$B12)+SUMIFS('TB Actual'!K$7:K$60,'TB Actual'!$D$7:$D$60,$B12)+SUMIFS('TB Actual'!L$7:L$60,'TB Actual'!$D$7:$D$60,$B12)+SUMIFS('TB Actual'!M$7:M$60,'TB Actual'!$D$7:$D$60,$B12)+SUMIFS('TB Actual'!N$7:N$60,'TB Actual'!$D$7:$D$60,$B12)+SUMIFS('TB Actual'!O$7:O$60,'TB Actual'!$D$7:$D$60,$B12)+SUMIFS('TB Actual'!P$7:P$60,'TB Actual'!$D$7:$D$60,$B12)+SUMIFS('TB Actual'!Q$7:Q$60,'TB Actual'!$D$7:$D$60,$B12))</f>
        <v>-370.7</v>
      </c>
      <c r="I12" s="37" t="n">
        <f aca="false">-(SUMIFS('TB Budget'!F$7:F$60,'TB Budget'!$D$7:$D$60,$B12)+SUMIFS('TB Budget'!G$7:G$60,'TB Budget'!$D$7:$D$60,$B12)+SUMIFS('TB Budget'!H$7:H$60,'TB Budget'!$D$7:$D$60,$B12)+SUMIFS('TB Budget'!I$7:I$60,'TB Budget'!$D$7:$D$60,$B12)+SUMIFS('TB Budget'!J$7:J$60,'TB Budget'!$D$7:$D$60,$B12)+SUMIFS('TB Budget'!K$7:K$60,'TB Budget'!$D$7:$D$60,$B12)+SUMIFS('TB Budget'!L$7:L$60,'TB Budget'!$D$7:$D$60,$B12)+SUMIFS('TB Budget'!M$7:M$60,'TB Budget'!$D$7:$D$60,$B12)+SUMIFS('TB Budget'!N$7:N$60,'TB Budget'!$D$7:$D$60,$B12)+SUMIFS('TB Budget'!O$7:O$60,'TB Budget'!$D$7:$D$60,$B12)+SUMIFS('TB Budget'!P$7:P$60,'TB Budget'!$D$7:$D$60,$B12)+SUMIFS('TB Budget'!Q$7:Q$60,'TB Budget'!$D$7:$D$60,$B12))</f>
        <v>-356.9</v>
      </c>
      <c r="J12" s="43" t="n">
        <f aca="false">H12-I12</f>
        <v>-13.8000000000001</v>
      </c>
      <c r="K12" s="41" t="n">
        <f aca="false">IFERROR(J12/ABS(I12),"n/a")</f>
        <v>-0.0386662930792941</v>
      </c>
      <c r="M12" s="41" t="n">
        <f aca="false">IFERROR(H12/H$13,0)</f>
        <v>-0.00981971147478451</v>
      </c>
      <c r="N12" s="41" t="n">
        <f aca="false">IFERROR(I12/I$13,0)</f>
        <v>-0.00923147755372311</v>
      </c>
    </row>
    <row r="13" customFormat="false" ht="15" hidden="false" customHeight="false" outlineLevel="0" collapsed="false">
      <c r="B13" s="39" t="s">
        <v>334</v>
      </c>
      <c r="C13" s="40" t="n">
        <f aca="false">SUM(C9:C12)</f>
        <v>3481.3</v>
      </c>
      <c r="D13" s="40" t="n">
        <f aca="false">SUM(D9:D12)</f>
        <v>3383</v>
      </c>
      <c r="E13" s="40" t="n">
        <f aca="false">C13-D13</f>
        <v>98.2999999999997</v>
      </c>
      <c r="F13" s="44" t="n">
        <f aca="false">IFERROR(E13/ABS(D13),"n/a")</f>
        <v>0.0290570499556606</v>
      </c>
      <c r="G13" s="45"/>
      <c r="H13" s="40" t="n">
        <f aca="false">SUM(H9:H12)</f>
        <v>37750.6</v>
      </c>
      <c r="I13" s="40" t="n">
        <f aca="false">SUM(I9:I12)</f>
        <v>38661.2</v>
      </c>
      <c r="J13" s="40" t="n">
        <f aca="false">H13-I13</f>
        <v>-910.599999999999</v>
      </c>
      <c r="K13" s="44" t="n">
        <f aca="false">IFERROR(J13/ABS(I13),"n/a")</f>
        <v>-0.0235533299535451</v>
      </c>
      <c r="L13" s="45"/>
      <c r="M13" s="46" t="n">
        <f aca="false">IFERROR(H13/H$13,0)</f>
        <v>1</v>
      </c>
      <c r="N13" s="46" t="n">
        <f aca="false">IFERROR(I13/I$13,0)</f>
        <v>1</v>
      </c>
    </row>
    <row r="15" customFormat="false" ht="15" hidden="false" customHeight="false" outlineLevel="0" collapsed="false">
      <c r="B15" s="11" t="s">
        <v>335</v>
      </c>
    </row>
    <row r="16" customFormat="false" ht="15" hidden="false" customHeight="false" outlineLevel="0" collapsed="false">
      <c r="B16" s="36" t="s">
        <v>96</v>
      </c>
      <c r="C16" s="37" t="n">
        <f aca="false">-SUMIFS('TB Actual'!Q$7:Q$60,'TB Actual'!$D$7:$D$60,$B16)</f>
        <v>-1932.1</v>
      </c>
      <c r="D16" s="37" t="n">
        <f aca="false">-SUMIFS('TB Budget'!Q$7:Q$60,'TB Budget'!$D$7:$D$60,$B16)</f>
        <v>-1863.9</v>
      </c>
      <c r="E16" s="43" t="n">
        <f aca="false">C16-D16</f>
        <v>-68.1999999999998</v>
      </c>
      <c r="F16" s="41" t="n">
        <f aca="false">IFERROR(E16/ABS(D16),"n/a")</f>
        <v>-0.0365899458125435</v>
      </c>
      <c r="H16" s="37" t="n">
        <f aca="false">-(SUMIFS('TB Actual'!F$7:F$60,'TB Actual'!$D$7:$D$60,$B16)+SUMIFS('TB Actual'!G$7:G$60,'TB Actual'!$D$7:$D$60,$B16)+SUMIFS('TB Actual'!H$7:H$60,'TB Actual'!$D$7:$D$60,$B16)+SUMIFS('TB Actual'!I$7:I$60,'TB Actual'!$D$7:$D$60,$B16)+SUMIFS('TB Actual'!J$7:J$60,'TB Actual'!$D$7:$D$60,$B16)+SUMIFS('TB Actual'!K$7:K$60,'TB Actual'!$D$7:$D$60,$B16)+SUMIFS('TB Actual'!L$7:L$60,'TB Actual'!$D$7:$D$60,$B16)+SUMIFS('TB Actual'!M$7:M$60,'TB Actual'!$D$7:$D$60,$B16)+SUMIFS('TB Actual'!N$7:N$60,'TB Actual'!$D$7:$D$60,$B16)+SUMIFS('TB Actual'!O$7:O$60,'TB Actual'!$D$7:$D$60,$B16)+SUMIFS('TB Actual'!P$7:P$60,'TB Actual'!$D$7:$D$60,$B16)+SUMIFS('TB Actual'!Q$7:Q$60,'TB Actual'!$D$7:$D$60,$B16))</f>
        <v>-20951.3</v>
      </c>
      <c r="I16" s="37" t="n">
        <f aca="false">-(SUMIFS('TB Budget'!F$7:F$60,'TB Budget'!$D$7:$D$60,$B16)+SUMIFS('TB Budget'!G$7:G$60,'TB Budget'!$D$7:$D$60,$B16)+SUMIFS('TB Budget'!H$7:H$60,'TB Budget'!$D$7:$D$60,$B16)+SUMIFS('TB Budget'!I$7:I$60,'TB Budget'!$D$7:$D$60,$B16)+SUMIFS('TB Budget'!J$7:J$60,'TB Budget'!$D$7:$D$60,$B16)+SUMIFS('TB Budget'!K$7:K$60,'TB Budget'!$D$7:$D$60,$B16)+SUMIFS('TB Budget'!L$7:L$60,'TB Budget'!$D$7:$D$60,$B16)+SUMIFS('TB Budget'!M$7:M$60,'TB Budget'!$D$7:$D$60,$B16)+SUMIFS('TB Budget'!N$7:N$60,'TB Budget'!$D$7:$D$60,$B16)+SUMIFS('TB Budget'!O$7:O$60,'TB Budget'!$D$7:$D$60,$B16)+SUMIFS('TB Budget'!P$7:P$60,'TB Budget'!$D$7:$D$60,$B16)+SUMIFS('TB Budget'!Q$7:Q$60,'TB Budget'!$D$7:$D$60,$B16))</f>
        <v>-21302.2</v>
      </c>
      <c r="J16" s="43" t="n">
        <f aca="false">H16-I16</f>
        <v>350.900000000005</v>
      </c>
      <c r="K16" s="41" t="n">
        <f aca="false">IFERROR(J16/ABS(I16),"n/a")</f>
        <v>0.016472477021153</v>
      </c>
      <c r="M16" s="41" t="n">
        <f aca="false">IFERROR(H16/H$13,0)</f>
        <v>-0.554992503430409</v>
      </c>
      <c r="N16" s="41" t="n">
        <f aca="false">IFERROR(I16/I$13,0)</f>
        <v>-0.550996865074028</v>
      </c>
    </row>
    <row r="17" customFormat="false" ht="15" hidden="false" customHeight="false" outlineLevel="0" collapsed="false">
      <c r="B17" s="36" t="s">
        <v>98</v>
      </c>
      <c r="C17" s="37" t="n">
        <f aca="false">-SUMIFS('TB Actual'!Q$7:Q$60,'TB Actual'!$D$7:$D$60,$B17)</f>
        <v>-153.2</v>
      </c>
      <c r="D17" s="37" t="n">
        <f aca="false">-SUMIFS('TB Budget'!Q$7:Q$60,'TB Budget'!$D$7:$D$60,$B17)</f>
        <v>-145.5</v>
      </c>
      <c r="E17" s="43" t="n">
        <f aca="false">C17-D17</f>
        <v>-7.69999999999999</v>
      </c>
      <c r="F17" s="41" t="n">
        <f aca="false">IFERROR(E17/ABS(D17),"n/a")</f>
        <v>-0.0529209621993126</v>
      </c>
      <c r="H17" s="37" t="n">
        <f aca="false">-(SUMIFS('TB Actual'!F$7:F$60,'TB Actual'!$D$7:$D$60,$B17)+SUMIFS('TB Actual'!G$7:G$60,'TB Actual'!$D$7:$D$60,$B17)+SUMIFS('TB Actual'!H$7:H$60,'TB Actual'!$D$7:$D$60,$B17)+SUMIFS('TB Actual'!I$7:I$60,'TB Actual'!$D$7:$D$60,$B17)+SUMIFS('TB Actual'!J$7:J$60,'TB Actual'!$D$7:$D$60,$B17)+SUMIFS('TB Actual'!K$7:K$60,'TB Actual'!$D$7:$D$60,$B17)+SUMIFS('TB Actual'!L$7:L$60,'TB Actual'!$D$7:$D$60,$B17)+SUMIFS('TB Actual'!M$7:M$60,'TB Actual'!$D$7:$D$60,$B17)+SUMIFS('TB Actual'!N$7:N$60,'TB Actual'!$D$7:$D$60,$B17)+SUMIFS('TB Actual'!O$7:O$60,'TB Actual'!$D$7:$D$60,$B17)+SUMIFS('TB Actual'!P$7:P$60,'TB Actual'!$D$7:$D$60,$B17)+SUMIFS('TB Actual'!Q$7:Q$60,'TB Actual'!$D$7:$D$60,$B17))</f>
        <v>-1661.1</v>
      </c>
      <c r="I17" s="37" t="n">
        <f aca="false">-(SUMIFS('TB Budget'!F$7:F$60,'TB Budget'!$D$7:$D$60,$B17)+SUMIFS('TB Budget'!G$7:G$60,'TB Budget'!$D$7:$D$60,$B17)+SUMIFS('TB Budget'!H$7:H$60,'TB Budget'!$D$7:$D$60,$B17)+SUMIFS('TB Budget'!I$7:I$60,'TB Budget'!$D$7:$D$60,$B17)+SUMIFS('TB Budget'!J$7:J$60,'TB Budget'!$D$7:$D$60,$B17)+SUMIFS('TB Budget'!K$7:K$60,'TB Budget'!$D$7:$D$60,$B17)+SUMIFS('TB Budget'!L$7:L$60,'TB Budget'!$D$7:$D$60,$B17)+SUMIFS('TB Budget'!M$7:M$60,'TB Budget'!$D$7:$D$60,$B17)+SUMIFS('TB Budget'!N$7:N$60,'TB Budget'!$D$7:$D$60,$B17)+SUMIFS('TB Budget'!O$7:O$60,'TB Budget'!$D$7:$D$60,$B17)+SUMIFS('TB Budget'!P$7:P$60,'TB Budget'!$D$7:$D$60,$B17)+SUMIFS('TB Budget'!Q$7:Q$60,'TB Budget'!$D$7:$D$60,$B17))</f>
        <v>-1662.4</v>
      </c>
      <c r="J17" s="43" t="n">
        <f aca="false">H17-I17</f>
        <v>1.30000000000018</v>
      </c>
      <c r="K17" s="41" t="n">
        <f aca="false">IFERROR(J17/ABS(I17),"n/a")</f>
        <v>0.000782001924927925</v>
      </c>
      <c r="M17" s="41" t="n">
        <f aca="false">IFERROR(H17/H$13,0)</f>
        <v>-0.0440019496378866</v>
      </c>
      <c r="N17" s="41" t="n">
        <f aca="false">IFERROR(I17/I$13,0)</f>
        <v>-0.0429991826430633</v>
      </c>
    </row>
    <row r="18" customFormat="false" ht="15" hidden="false" customHeight="false" outlineLevel="0" collapsed="false">
      <c r="B18" s="36" t="s">
        <v>268</v>
      </c>
      <c r="C18" s="37" t="n">
        <f aca="false">-SUMIFS('TB Actual'!Q$7:Q$60,'TB Actual'!$D$7:$D$60,$B18)</f>
        <v>-34</v>
      </c>
      <c r="D18" s="37" t="n">
        <f aca="false">-SUMIFS('TB Budget'!Q$7:Q$60,'TB Budget'!$D$7:$D$60,$B18)</f>
        <v>-19.3</v>
      </c>
      <c r="E18" s="43" t="n">
        <f aca="false">C18-D18</f>
        <v>-14.7</v>
      </c>
      <c r="F18" s="41" t="n">
        <f aca="false">IFERROR(E18/ABS(D18),"n/a")</f>
        <v>-0.761658031088083</v>
      </c>
      <c r="H18" s="37" t="n">
        <f aca="false">-(SUMIFS('TB Actual'!F$7:F$60,'TB Actual'!$D$7:$D$60,$B18)+SUMIFS('TB Actual'!G$7:G$60,'TB Actual'!$D$7:$D$60,$B18)+SUMIFS('TB Actual'!H$7:H$60,'TB Actual'!$D$7:$D$60,$B18)+SUMIFS('TB Actual'!I$7:I$60,'TB Actual'!$D$7:$D$60,$B18)+SUMIFS('TB Actual'!J$7:J$60,'TB Actual'!$D$7:$D$60,$B18)+SUMIFS('TB Actual'!K$7:K$60,'TB Actual'!$D$7:$D$60,$B18)+SUMIFS('TB Actual'!L$7:L$60,'TB Actual'!$D$7:$D$60,$B18)+SUMIFS('TB Actual'!M$7:M$60,'TB Actual'!$D$7:$D$60,$B18)+SUMIFS('TB Actual'!N$7:N$60,'TB Actual'!$D$7:$D$60,$B18)+SUMIFS('TB Actual'!O$7:O$60,'TB Actual'!$D$7:$D$60,$B18)+SUMIFS('TB Actual'!P$7:P$60,'TB Actual'!$D$7:$D$60,$B18)+SUMIFS('TB Actual'!Q$7:Q$60,'TB Actual'!$D$7:$D$60,$B18))</f>
        <v>-339.9</v>
      </c>
      <c r="I18" s="37" t="n">
        <f aca="false">-(SUMIFS('TB Budget'!F$7:F$60,'TB Budget'!$D$7:$D$60,$B18)+SUMIFS('TB Budget'!G$7:G$60,'TB Budget'!$D$7:$D$60,$B18)+SUMIFS('TB Budget'!H$7:H$60,'TB Budget'!$D$7:$D$60,$B18)+SUMIFS('TB Budget'!I$7:I$60,'TB Budget'!$D$7:$D$60,$B18)+SUMIFS('TB Budget'!J$7:J$60,'TB Budget'!$D$7:$D$60,$B18)+SUMIFS('TB Budget'!K$7:K$60,'TB Budget'!$D$7:$D$60,$B18)+SUMIFS('TB Budget'!L$7:L$60,'TB Budget'!$D$7:$D$60,$B18)+SUMIFS('TB Budget'!M$7:M$60,'TB Budget'!$D$7:$D$60,$B18)+SUMIFS('TB Budget'!N$7:N$60,'TB Budget'!$D$7:$D$60,$B18)+SUMIFS('TB Budget'!O$7:O$60,'TB Budget'!$D$7:$D$60,$B18)+SUMIFS('TB Budget'!P$7:P$60,'TB Budget'!$D$7:$D$60,$B18)+SUMIFS('TB Budget'!Q$7:Q$60,'TB Budget'!$D$7:$D$60,$B18))</f>
        <v>-231.6</v>
      </c>
      <c r="J18" s="43" t="n">
        <f aca="false">H18-I18</f>
        <v>-108.3</v>
      </c>
      <c r="K18" s="41" t="n">
        <f aca="false">IFERROR(J18/ABS(I18),"n/a")</f>
        <v>-0.46761658031088</v>
      </c>
      <c r="M18" s="41" t="n">
        <f aca="false">IFERROR(H18/H$13,0)</f>
        <v>-0.00900383040269559</v>
      </c>
      <c r="N18" s="41" t="n">
        <f aca="false">IFERROR(I18/I$13,0)</f>
        <v>-0.00599050210547009</v>
      </c>
    </row>
    <row r="19" customFormat="false" ht="15" hidden="false" customHeight="false" outlineLevel="0" collapsed="false">
      <c r="B19" s="39" t="s">
        <v>336</v>
      </c>
      <c r="C19" s="40" t="n">
        <f aca="false">SUM(C16:C18)+C13</f>
        <v>1362</v>
      </c>
      <c r="D19" s="40" t="n">
        <f aca="false">SUM(D16:D18)+D13</f>
        <v>1354.3</v>
      </c>
      <c r="E19" s="40" t="n">
        <f aca="false">C19-D19</f>
        <v>7.70000000000005</v>
      </c>
      <c r="F19" s="44" t="n">
        <f aca="false">IFERROR(E19/ABS(D19),"n/a")</f>
        <v>0.00568559403381824</v>
      </c>
      <c r="G19" s="45"/>
      <c r="H19" s="40" t="n">
        <f aca="false">SUM(H16:H18)+H13</f>
        <v>14798.3</v>
      </c>
      <c r="I19" s="40" t="n">
        <f aca="false">SUM(I16:I18)+I13</f>
        <v>15465</v>
      </c>
      <c r="J19" s="40" t="n">
        <f aca="false">H19-I19</f>
        <v>-666.699999999994</v>
      </c>
      <c r="K19" s="44" t="n">
        <f aca="false">IFERROR(J19/ABS(I19),"n/a")</f>
        <v>-0.0431102489492398</v>
      </c>
      <c r="L19" s="45"/>
      <c r="M19" s="46" t="n">
        <f aca="false">IFERROR(H19/H$13,0)</f>
        <v>0.392001716529009</v>
      </c>
      <c r="N19" s="46" t="n">
        <f aca="false">IFERROR(I19/I$13,0)</f>
        <v>0.400013450177439</v>
      </c>
    </row>
    <row r="21" customFormat="false" ht="15" hidden="false" customHeight="false" outlineLevel="0" collapsed="false">
      <c r="B21" s="11" t="s">
        <v>337</v>
      </c>
    </row>
    <row r="22" customFormat="false" ht="15" hidden="false" customHeight="false" outlineLevel="0" collapsed="false">
      <c r="B22" s="36" t="s">
        <v>101</v>
      </c>
      <c r="C22" s="37" t="n">
        <f aca="false">-SUMIFS('TB Actual'!Q$7:Q$60,'TB Actual'!$D$7:$D$60,$B22)</f>
        <v>-328.4</v>
      </c>
      <c r="D22" s="37" t="n">
        <f aca="false">-SUMIFS('TB Budget'!Q$7:Q$60,'TB Budget'!$D$7:$D$60,$B22)</f>
        <v>-242.4</v>
      </c>
      <c r="E22" s="43" t="n">
        <f aca="false">C22-D22</f>
        <v>-86</v>
      </c>
      <c r="F22" s="41" t="n">
        <f aca="false">IFERROR(E22/ABS(D22),"n/a")</f>
        <v>-0.354785478547855</v>
      </c>
      <c r="H22" s="37" t="n">
        <f aca="false">-(SUMIFS('TB Actual'!F$7:F$60,'TB Actual'!$D$7:$D$60,$B22)+SUMIFS('TB Actual'!G$7:G$60,'TB Actual'!$D$7:$D$60,$B22)+SUMIFS('TB Actual'!H$7:H$60,'TB Actual'!$D$7:$D$60,$B22)+SUMIFS('TB Actual'!I$7:I$60,'TB Actual'!$D$7:$D$60,$B22)+SUMIFS('TB Actual'!J$7:J$60,'TB Actual'!$D$7:$D$60,$B22)+SUMIFS('TB Actual'!K$7:K$60,'TB Actual'!$D$7:$D$60,$B22)+SUMIFS('TB Actual'!L$7:L$60,'TB Actual'!$D$7:$D$60,$B22)+SUMIFS('TB Actual'!M$7:M$60,'TB Actual'!$D$7:$D$60,$B22)+SUMIFS('TB Actual'!N$7:N$60,'TB Actual'!$D$7:$D$60,$B22)+SUMIFS('TB Actual'!O$7:O$60,'TB Actual'!$D$7:$D$60,$B22)+SUMIFS('TB Actual'!P$7:P$60,'TB Actual'!$D$7:$D$60,$B22)+SUMIFS('TB Actual'!Q$7:Q$60,'TB Actual'!$D$7:$D$60,$B22))</f>
        <v>-2265.1</v>
      </c>
      <c r="I22" s="37" t="n">
        <f aca="false">-(SUMIFS('TB Budget'!F$7:F$60,'TB Budget'!$D$7:$D$60,$B22)+SUMIFS('TB Budget'!G$7:G$60,'TB Budget'!$D$7:$D$60,$B22)+SUMIFS('TB Budget'!H$7:H$60,'TB Budget'!$D$7:$D$60,$B22)+SUMIFS('TB Budget'!I$7:I$60,'TB Budget'!$D$7:$D$60,$B22)+SUMIFS('TB Budget'!J$7:J$60,'TB Budget'!$D$7:$D$60,$B22)+SUMIFS('TB Budget'!K$7:K$60,'TB Budget'!$D$7:$D$60,$B22)+SUMIFS('TB Budget'!L$7:L$60,'TB Budget'!$D$7:$D$60,$B22)+SUMIFS('TB Budget'!M$7:M$60,'TB Budget'!$D$7:$D$60,$B22)+SUMIFS('TB Budget'!N$7:N$60,'TB Budget'!$D$7:$D$60,$B22)+SUMIFS('TB Budget'!O$7:O$60,'TB Budget'!$D$7:$D$60,$B22)+SUMIFS('TB Budget'!P$7:P$60,'TB Budget'!$D$7:$D$60,$B22)+SUMIFS('TB Budget'!Q$7:Q$60,'TB Budget'!$D$7:$D$60,$B22))</f>
        <v>-2551.7</v>
      </c>
      <c r="J22" s="43" t="n">
        <f aca="false">H22-I22</f>
        <v>286.6</v>
      </c>
      <c r="K22" s="41" t="n">
        <f aca="false">IFERROR(J22/ABS(I22),"n/a")</f>
        <v>0.112317278676961</v>
      </c>
      <c r="M22" s="41" t="n">
        <f aca="false">IFERROR(H22/H$13,0)</f>
        <v>-0.0600016953372927</v>
      </c>
      <c r="N22" s="41" t="n">
        <f aca="false">IFERROR(I22/I$13,0)</f>
        <v>-0.0660015726361313</v>
      </c>
    </row>
    <row r="23" customFormat="false" ht="15" hidden="false" customHeight="false" outlineLevel="0" collapsed="false">
      <c r="B23" s="36" t="s">
        <v>272</v>
      </c>
      <c r="C23" s="37" t="n">
        <f aca="false">-SUMIFS('TB Actual'!Q$7:Q$60,'TB Actual'!$D$7:$D$60,$B23)</f>
        <v>-125.3</v>
      </c>
      <c r="D23" s="37" t="n">
        <f aca="false">-SUMIFS('TB Budget'!Q$7:Q$60,'TB Budget'!$D$7:$D$60,$B23)</f>
        <v>-118.4</v>
      </c>
      <c r="E23" s="43" t="n">
        <f aca="false">C23-D23</f>
        <v>-6.89999999999999</v>
      </c>
      <c r="F23" s="41" t="n">
        <f aca="false">IFERROR(E23/ABS(D23),"n/a")</f>
        <v>-0.058277027027027</v>
      </c>
      <c r="H23" s="37" t="n">
        <f aca="false">-(SUMIFS('TB Actual'!F$7:F$60,'TB Actual'!$D$7:$D$60,$B23)+SUMIFS('TB Actual'!G$7:G$60,'TB Actual'!$D$7:$D$60,$B23)+SUMIFS('TB Actual'!H$7:H$60,'TB Actual'!$D$7:$D$60,$B23)+SUMIFS('TB Actual'!I$7:I$60,'TB Actual'!$D$7:$D$60,$B23)+SUMIFS('TB Actual'!J$7:J$60,'TB Actual'!$D$7:$D$60,$B23)+SUMIFS('TB Actual'!K$7:K$60,'TB Actual'!$D$7:$D$60,$B23)+SUMIFS('TB Actual'!L$7:L$60,'TB Actual'!$D$7:$D$60,$B23)+SUMIFS('TB Actual'!M$7:M$60,'TB Actual'!$D$7:$D$60,$B23)+SUMIFS('TB Actual'!N$7:N$60,'TB Actual'!$D$7:$D$60,$B23)+SUMIFS('TB Actual'!O$7:O$60,'TB Actual'!$D$7:$D$60,$B23)+SUMIFS('TB Actual'!P$7:P$60,'TB Actual'!$D$7:$D$60,$B23)+SUMIFS('TB Actual'!Q$7:Q$60,'TB Actual'!$D$7:$D$60,$B23))</f>
        <v>-1359.1</v>
      </c>
      <c r="I23" s="37" t="n">
        <f aca="false">-(SUMIFS('TB Budget'!F$7:F$60,'TB Budget'!$D$7:$D$60,$B23)+SUMIFS('TB Budget'!G$7:G$60,'TB Budget'!$D$7:$D$60,$B23)+SUMIFS('TB Budget'!H$7:H$60,'TB Budget'!$D$7:$D$60,$B23)+SUMIFS('TB Budget'!I$7:I$60,'TB Budget'!$D$7:$D$60,$B23)+SUMIFS('TB Budget'!J$7:J$60,'TB Budget'!$D$7:$D$60,$B23)+SUMIFS('TB Budget'!K$7:K$60,'TB Budget'!$D$7:$D$60,$B23)+SUMIFS('TB Budget'!L$7:L$60,'TB Budget'!$D$7:$D$60,$B23)+SUMIFS('TB Budget'!M$7:M$60,'TB Budget'!$D$7:$D$60,$B23)+SUMIFS('TB Budget'!N$7:N$60,'TB Budget'!$D$7:$D$60,$B23)+SUMIFS('TB Budget'!O$7:O$60,'TB Budget'!$D$7:$D$60,$B23)+SUMIFS('TB Budget'!P$7:P$60,'TB Budget'!$D$7:$D$60,$B23)+SUMIFS('TB Budget'!Q$7:Q$60,'TB Budget'!$D$7:$D$60,$B23))</f>
        <v>-1352.9</v>
      </c>
      <c r="J23" s="43" t="n">
        <f aca="false">H23-I23</f>
        <v>-6.19999999999959</v>
      </c>
      <c r="K23" s="41" t="n">
        <f aca="false">IFERROR(J23/ABS(I23),"n/a")</f>
        <v>-0.00458274817059619</v>
      </c>
      <c r="M23" s="41" t="n">
        <f aca="false">IFERROR(H23/H$13,0)</f>
        <v>-0.0360020767881835</v>
      </c>
      <c r="N23" s="41" t="n">
        <f aca="false">IFERROR(I23/I$13,0)</f>
        <v>-0.0349937404943458</v>
      </c>
    </row>
    <row r="24" customFormat="false" ht="15" hidden="false" customHeight="false" outlineLevel="0" collapsed="false">
      <c r="B24" s="36" t="s">
        <v>104</v>
      </c>
      <c r="C24" s="37" t="n">
        <f aca="false">-SUMIFS('TB Actual'!Q$7:Q$60,'TB Actual'!$D$7:$D$60,$B24)</f>
        <v>-30.2</v>
      </c>
      <c r="D24" s="37" t="n">
        <f aca="false">-SUMIFS('TB Budget'!Q$7:Q$60,'TB Budget'!$D$7:$D$60,$B24)</f>
        <v>-29</v>
      </c>
      <c r="E24" s="43" t="n">
        <f aca="false">C24-D24</f>
        <v>-1.2</v>
      </c>
      <c r="F24" s="41" t="n">
        <f aca="false">IFERROR(E24/ABS(D24),"n/a")</f>
        <v>-0.0413793103448276</v>
      </c>
      <c r="H24" s="37" t="n">
        <f aca="false">-(SUMIFS('TB Actual'!F$7:F$60,'TB Actual'!$D$7:$D$60,$B24)+SUMIFS('TB Actual'!G$7:G$60,'TB Actual'!$D$7:$D$60,$B24)+SUMIFS('TB Actual'!H$7:H$60,'TB Actual'!$D$7:$D$60,$B24)+SUMIFS('TB Actual'!I$7:I$60,'TB Actual'!$D$7:$D$60,$B24)+SUMIFS('TB Actual'!J$7:J$60,'TB Actual'!$D$7:$D$60,$B24)+SUMIFS('TB Actual'!K$7:K$60,'TB Actual'!$D$7:$D$60,$B24)+SUMIFS('TB Actual'!L$7:L$60,'TB Actual'!$D$7:$D$60,$B24)+SUMIFS('TB Actual'!M$7:M$60,'TB Actual'!$D$7:$D$60,$B24)+SUMIFS('TB Actual'!N$7:N$60,'TB Actual'!$D$7:$D$60,$B24)+SUMIFS('TB Actual'!O$7:O$60,'TB Actual'!$D$7:$D$60,$B24)+SUMIFS('TB Actual'!P$7:P$60,'TB Actual'!$D$7:$D$60,$B24)+SUMIFS('TB Actual'!Q$7:Q$60,'TB Actual'!$D$7:$D$60,$B24))</f>
        <v>-362.4</v>
      </c>
      <c r="I24" s="37" t="n">
        <f aca="false">-(SUMIFS('TB Budget'!F$7:F$60,'TB Budget'!$D$7:$D$60,$B24)+SUMIFS('TB Budget'!G$7:G$60,'TB Budget'!$D$7:$D$60,$B24)+SUMIFS('TB Budget'!H$7:H$60,'TB Budget'!$D$7:$D$60,$B24)+SUMIFS('TB Budget'!I$7:I$60,'TB Budget'!$D$7:$D$60,$B24)+SUMIFS('TB Budget'!J$7:J$60,'TB Budget'!$D$7:$D$60,$B24)+SUMIFS('TB Budget'!K$7:K$60,'TB Budget'!$D$7:$D$60,$B24)+SUMIFS('TB Budget'!L$7:L$60,'TB Budget'!$D$7:$D$60,$B24)+SUMIFS('TB Budget'!M$7:M$60,'TB Budget'!$D$7:$D$60,$B24)+SUMIFS('TB Budget'!N$7:N$60,'TB Budget'!$D$7:$D$60,$B24)+SUMIFS('TB Budget'!O$7:O$60,'TB Budget'!$D$7:$D$60,$B24)+SUMIFS('TB Budget'!P$7:P$60,'TB Budget'!$D$7:$D$60,$B24)+SUMIFS('TB Budget'!Q$7:Q$60,'TB Budget'!$D$7:$D$60,$B24))</f>
        <v>-348</v>
      </c>
      <c r="J24" s="43" t="n">
        <f aca="false">H24-I24</f>
        <v>-14.3999999999999</v>
      </c>
      <c r="K24" s="41" t="n">
        <f aca="false">IFERROR(J24/ABS(I24),"n/a")</f>
        <v>-0.0413793103448274</v>
      </c>
      <c r="M24" s="41" t="n">
        <f aca="false">IFERROR(H24/H$13,0)</f>
        <v>-0.00959984741964366</v>
      </c>
      <c r="N24" s="41" t="n">
        <f aca="false">IFERROR(I24/I$13,0)</f>
        <v>-0.00900127259371153</v>
      </c>
    </row>
    <row r="25" customFormat="false" ht="15" hidden="false" customHeight="false" outlineLevel="0" collapsed="false">
      <c r="B25" s="36" t="s">
        <v>277</v>
      </c>
      <c r="C25" s="37" t="n">
        <f aca="false">-SUMIFS('TB Actual'!Q$7:Q$60,'TB Actual'!$D$7:$D$60,$B25)</f>
        <v>-68.4</v>
      </c>
      <c r="D25" s="37" t="n">
        <f aca="false">-SUMIFS('TB Budget'!Q$7:Q$60,'TB Budget'!$D$7:$D$60,$B25)</f>
        <v>-66</v>
      </c>
      <c r="E25" s="43" t="n">
        <f aca="false">C25-D25</f>
        <v>-2.40000000000001</v>
      </c>
      <c r="F25" s="41" t="n">
        <f aca="false">IFERROR(E25/ABS(D25),"n/a")</f>
        <v>-0.0363636363636365</v>
      </c>
      <c r="H25" s="37" t="n">
        <f aca="false">-(SUMIFS('TB Actual'!F$7:F$60,'TB Actual'!$D$7:$D$60,$B25)+SUMIFS('TB Actual'!G$7:G$60,'TB Actual'!$D$7:$D$60,$B25)+SUMIFS('TB Actual'!H$7:H$60,'TB Actual'!$D$7:$D$60,$B25)+SUMIFS('TB Actual'!I$7:I$60,'TB Actual'!$D$7:$D$60,$B25)+SUMIFS('TB Actual'!J$7:J$60,'TB Actual'!$D$7:$D$60,$B25)+SUMIFS('TB Actual'!K$7:K$60,'TB Actual'!$D$7:$D$60,$B25)+SUMIFS('TB Actual'!L$7:L$60,'TB Actual'!$D$7:$D$60,$B25)+SUMIFS('TB Actual'!M$7:M$60,'TB Actual'!$D$7:$D$60,$B25)+SUMIFS('TB Actual'!N$7:N$60,'TB Actual'!$D$7:$D$60,$B25)+SUMIFS('TB Actual'!O$7:O$60,'TB Actual'!$D$7:$D$60,$B25)+SUMIFS('TB Actual'!P$7:P$60,'TB Actual'!$D$7:$D$60,$B25)+SUMIFS('TB Actual'!Q$7:Q$60,'TB Actual'!$D$7:$D$60,$B25))</f>
        <v>-794.8</v>
      </c>
      <c r="I25" s="37" t="n">
        <f aca="false">-(SUMIFS('TB Budget'!F$7:F$60,'TB Budget'!$D$7:$D$60,$B25)+SUMIFS('TB Budget'!G$7:G$60,'TB Budget'!$D$7:$D$60,$B25)+SUMIFS('TB Budget'!H$7:H$60,'TB Budget'!$D$7:$D$60,$B25)+SUMIFS('TB Budget'!I$7:I$60,'TB Budget'!$D$7:$D$60,$B25)+SUMIFS('TB Budget'!J$7:J$60,'TB Budget'!$D$7:$D$60,$B25)+SUMIFS('TB Budget'!K$7:K$60,'TB Budget'!$D$7:$D$60,$B25)+SUMIFS('TB Budget'!L$7:L$60,'TB Budget'!$D$7:$D$60,$B25)+SUMIFS('TB Budget'!M$7:M$60,'TB Budget'!$D$7:$D$60,$B25)+SUMIFS('TB Budget'!N$7:N$60,'TB Budget'!$D$7:$D$60,$B25)+SUMIFS('TB Budget'!O$7:O$60,'TB Budget'!$D$7:$D$60,$B25)+SUMIFS('TB Budget'!P$7:P$60,'TB Budget'!$D$7:$D$60,$B25)+SUMIFS('TB Budget'!Q$7:Q$60,'TB Budget'!$D$7:$D$60,$B25))</f>
        <v>-780.1</v>
      </c>
      <c r="J25" s="43" t="n">
        <f aca="false">H25-I25</f>
        <v>-14.7000000000002</v>
      </c>
      <c r="K25" s="41" t="n">
        <f aca="false">IFERROR(J25/ABS(I25),"n/a")</f>
        <v>-0.0188437379823102</v>
      </c>
      <c r="M25" s="41" t="n">
        <f aca="false">IFERROR(H25/H$13,0)</f>
        <v>-0.0210539700031258</v>
      </c>
      <c r="N25" s="41" t="n">
        <f aca="false">IFERROR(I25/I$13,0)</f>
        <v>-0.0201778527309033</v>
      </c>
    </row>
    <row r="26" customFormat="false" ht="15" hidden="false" customHeight="false" outlineLevel="0" collapsed="false">
      <c r="B26" s="36" t="s">
        <v>108</v>
      </c>
      <c r="C26" s="37" t="n">
        <f aca="false">-SUMIFS('TB Actual'!Q$7:Q$60,'TB Actual'!$D$7:$D$60,$B26)</f>
        <v>-114.9</v>
      </c>
      <c r="D26" s="37" t="n">
        <f aca="false">-SUMIFS('TB Budget'!Q$7:Q$60,'TB Budget'!$D$7:$D$60,$B26)</f>
        <v>-108.3</v>
      </c>
      <c r="E26" s="43" t="n">
        <f aca="false">C26-D26</f>
        <v>-6.60000000000001</v>
      </c>
      <c r="F26" s="41" t="n">
        <f aca="false">IFERROR(E26/ABS(D26),"n/a")</f>
        <v>-0.0609418282548477</v>
      </c>
      <c r="H26" s="37" t="n">
        <f aca="false">-(SUMIFS('TB Actual'!F$7:F$60,'TB Actual'!$D$7:$D$60,$B26)+SUMIFS('TB Actual'!G$7:G$60,'TB Actual'!$D$7:$D$60,$B26)+SUMIFS('TB Actual'!H$7:H$60,'TB Actual'!$D$7:$D$60,$B26)+SUMIFS('TB Actual'!I$7:I$60,'TB Actual'!$D$7:$D$60,$B26)+SUMIFS('TB Actual'!J$7:J$60,'TB Actual'!$D$7:$D$60,$B26)+SUMIFS('TB Actual'!K$7:K$60,'TB Actual'!$D$7:$D$60,$B26)+SUMIFS('TB Actual'!L$7:L$60,'TB Actual'!$D$7:$D$60,$B26)+SUMIFS('TB Actual'!M$7:M$60,'TB Actual'!$D$7:$D$60,$B26)+SUMIFS('TB Actual'!N$7:N$60,'TB Actual'!$D$7:$D$60,$B26)+SUMIFS('TB Actual'!O$7:O$60,'TB Actual'!$D$7:$D$60,$B26)+SUMIFS('TB Actual'!P$7:P$60,'TB Actual'!$D$7:$D$60,$B26)+SUMIFS('TB Actual'!Q$7:Q$60,'TB Actual'!$D$7:$D$60,$B26))</f>
        <v>-1245.7</v>
      </c>
      <c r="I26" s="37" t="n">
        <f aca="false">-(SUMIFS('TB Budget'!F$7:F$60,'TB Budget'!$D$7:$D$60,$B26)+SUMIFS('TB Budget'!G$7:G$60,'TB Budget'!$D$7:$D$60,$B26)+SUMIFS('TB Budget'!H$7:H$60,'TB Budget'!$D$7:$D$60,$B26)+SUMIFS('TB Budget'!I$7:I$60,'TB Budget'!$D$7:$D$60,$B26)+SUMIFS('TB Budget'!J$7:J$60,'TB Budget'!$D$7:$D$60,$B26)+SUMIFS('TB Budget'!K$7:K$60,'TB Budget'!$D$7:$D$60,$B26)+SUMIFS('TB Budget'!L$7:L$60,'TB Budget'!$D$7:$D$60,$B26)+SUMIFS('TB Budget'!M$7:M$60,'TB Budget'!$D$7:$D$60,$B26)+SUMIFS('TB Budget'!N$7:N$60,'TB Budget'!$D$7:$D$60,$B26)+SUMIFS('TB Budget'!O$7:O$60,'TB Budget'!$D$7:$D$60,$B26)+SUMIFS('TB Budget'!P$7:P$60,'TB Budget'!$D$7:$D$60,$B26)+SUMIFS('TB Budget'!Q$7:Q$60,'TB Budget'!$D$7:$D$60,$B26))</f>
        <v>-1237.1</v>
      </c>
      <c r="J26" s="43" t="n">
        <f aca="false">H26-I26</f>
        <v>-8.60000000000014</v>
      </c>
      <c r="K26" s="41" t="n">
        <f aca="false">IFERROR(J26/ABS(I26),"n/a")</f>
        <v>-0.00695174197720486</v>
      </c>
      <c r="M26" s="41" t="n">
        <f aca="false">IFERROR(H26/H$13,0)</f>
        <v>-0.0329981510227652</v>
      </c>
      <c r="N26" s="41" t="n">
        <f aca="false">IFERROR(I26/I$13,0)</f>
        <v>-0.0319984894416107</v>
      </c>
    </row>
    <row r="27" customFormat="false" ht="15" hidden="false" customHeight="false" outlineLevel="0" collapsed="false">
      <c r="B27" s="36" t="s">
        <v>282</v>
      </c>
      <c r="C27" s="37" t="n">
        <f aca="false">-SUMIFS('TB Actual'!Q$7:Q$60,'TB Actual'!$D$7:$D$60,$B27)</f>
        <v>-299.2</v>
      </c>
      <c r="D27" s="37" t="n">
        <f aca="false">-SUMIFS('TB Budget'!Q$7:Q$60,'TB Budget'!$D$7:$D$60,$B27)</f>
        <v>-293.1</v>
      </c>
      <c r="E27" s="43" t="n">
        <f aca="false">C27-D27</f>
        <v>-6.09999999999997</v>
      </c>
      <c r="F27" s="41" t="n">
        <f aca="false">IFERROR(E27/ABS(D27),"n/a")</f>
        <v>-0.0208120095530534</v>
      </c>
      <c r="H27" s="37" t="n">
        <f aca="false">-(SUMIFS('TB Actual'!F$7:F$60,'TB Actual'!$D$7:$D$60,$B27)+SUMIFS('TB Actual'!G$7:G$60,'TB Actual'!$D$7:$D$60,$B27)+SUMIFS('TB Actual'!H$7:H$60,'TB Actual'!$D$7:$D$60,$B27)+SUMIFS('TB Actual'!I$7:I$60,'TB Actual'!$D$7:$D$60,$B27)+SUMIFS('TB Actual'!J$7:J$60,'TB Actual'!$D$7:$D$60,$B27)+SUMIFS('TB Actual'!K$7:K$60,'TB Actual'!$D$7:$D$60,$B27)+SUMIFS('TB Actual'!L$7:L$60,'TB Actual'!$D$7:$D$60,$B27)+SUMIFS('TB Actual'!M$7:M$60,'TB Actual'!$D$7:$D$60,$B27)+SUMIFS('TB Actual'!N$7:N$60,'TB Actual'!$D$7:$D$60,$B27)+SUMIFS('TB Actual'!O$7:O$60,'TB Actual'!$D$7:$D$60,$B27)+SUMIFS('TB Actual'!P$7:P$60,'TB Actual'!$D$7:$D$60,$B27)+SUMIFS('TB Actual'!Q$7:Q$60,'TB Actual'!$D$7:$D$60,$B27))</f>
        <v>-2235.2</v>
      </c>
      <c r="I27" s="37" t="n">
        <f aca="false">-(SUMIFS('TB Budget'!F$7:F$60,'TB Budget'!$D$7:$D$60,$B27)+SUMIFS('TB Budget'!G$7:G$60,'TB Budget'!$D$7:$D$60,$B27)+SUMIFS('TB Budget'!H$7:H$60,'TB Budget'!$D$7:$D$60,$B27)+SUMIFS('TB Budget'!I$7:I$60,'TB Budget'!$D$7:$D$60,$B27)+SUMIFS('TB Budget'!J$7:J$60,'TB Budget'!$D$7:$D$60,$B27)+SUMIFS('TB Budget'!K$7:K$60,'TB Budget'!$D$7:$D$60,$B27)+SUMIFS('TB Budget'!L$7:L$60,'TB Budget'!$D$7:$D$60,$B27)+SUMIFS('TB Budget'!M$7:M$60,'TB Budget'!$D$7:$D$60,$B27)+SUMIFS('TB Budget'!N$7:N$60,'TB Budget'!$D$7:$D$60,$B27)+SUMIFS('TB Budget'!O$7:O$60,'TB Budget'!$D$7:$D$60,$B27)+SUMIFS('TB Budget'!P$7:P$60,'TB Budget'!$D$7:$D$60,$B27)+SUMIFS('TB Budget'!Q$7:Q$60,'TB Budget'!$D$7:$D$60,$B27))</f>
        <v>-2189.5</v>
      </c>
      <c r="J27" s="43" t="n">
        <f aca="false">H27-I27</f>
        <v>-45.6999999999994</v>
      </c>
      <c r="K27" s="41" t="n">
        <f aca="false">IFERROR(J27/ABS(I27),"n/a")</f>
        <v>-0.0208723452843112</v>
      </c>
      <c r="M27" s="41" t="n">
        <f aca="false">IFERROR(H27/H$13,0)</f>
        <v>-0.0592096549458817</v>
      </c>
      <c r="N27" s="41" t="n">
        <f aca="false">IFERROR(I27/I$13,0)</f>
        <v>-0.056633006735435</v>
      </c>
    </row>
    <row r="28" customFormat="false" ht="15" hidden="false" customHeight="false" outlineLevel="0" collapsed="false">
      <c r="B28" s="36" t="s">
        <v>285</v>
      </c>
      <c r="C28" s="37" t="n">
        <f aca="false">-SUMIFS('TB Actual'!Q$7:Q$60,'TB Actual'!$D$7:$D$60,$B28)</f>
        <v>-158</v>
      </c>
      <c r="D28" s="37" t="n">
        <f aca="false">-SUMIFS('TB Budget'!Q$7:Q$60,'TB Budget'!$D$7:$D$60,$B28)</f>
        <v>-155.3</v>
      </c>
      <c r="E28" s="43" t="n">
        <f aca="false">C28-D28</f>
        <v>-2.69999999999999</v>
      </c>
      <c r="F28" s="41" t="n">
        <f aca="false">IFERROR(E28/ABS(D28),"n/a")</f>
        <v>-0.0173857050869285</v>
      </c>
      <c r="H28" s="37" t="n">
        <f aca="false">-(SUMIFS('TB Actual'!F$7:F$60,'TB Actual'!$D$7:$D$60,$B28)+SUMIFS('TB Actual'!G$7:G$60,'TB Actual'!$D$7:$D$60,$B28)+SUMIFS('TB Actual'!H$7:H$60,'TB Actual'!$D$7:$D$60,$B28)+SUMIFS('TB Actual'!I$7:I$60,'TB Actual'!$D$7:$D$60,$B28)+SUMIFS('TB Actual'!J$7:J$60,'TB Actual'!$D$7:$D$60,$B28)+SUMIFS('TB Actual'!K$7:K$60,'TB Actual'!$D$7:$D$60,$B28)+SUMIFS('TB Actual'!L$7:L$60,'TB Actual'!$D$7:$D$60,$B28)+SUMIFS('TB Actual'!M$7:M$60,'TB Actual'!$D$7:$D$60,$B28)+SUMIFS('TB Actual'!N$7:N$60,'TB Actual'!$D$7:$D$60,$B28)+SUMIFS('TB Actual'!O$7:O$60,'TB Actual'!$D$7:$D$60,$B28)+SUMIFS('TB Actual'!P$7:P$60,'TB Actual'!$D$7:$D$60,$B28)+SUMIFS('TB Actual'!Q$7:Q$60,'TB Actual'!$D$7:$D$60,$B28))</f>
        <v>-1179.9</v>
      </c>
      <c r="I28" s="37" t="n">
        <f aca="false">-(SUMIFS('TB Budget'!F$7:F$60,'TB Budget'!$D$7:$D$60,$B28)+SUMIFS('TB Budget'!G$7:G$60,'TB Budget'!$D$7:$D$60,$B28)+SUMIFS('TB Budget'!H$7:H$60,'TB Budget'!$D$7:$D$60,$B28)+SUMIFS('TB Budget'!I$7:I$60,'TB Budget'!$D$7:$D$60,$B28)+SUMIFS('TB Budget'!J$7:J$60,'TB Budget'!$D$7:$D$60,$B28)+SUMIFS('TB Budget'!K$7:K$60,'TB Budget'!$D$7:$D$60,$B28)+SUMIFS('TB Budget'!L$7:L$60,'TB Budget'!$D$7:$D$60,$B28)+SUMIFS('TB Budget'!M$7:M$60,'TB Budget'!$D$7:$D$60,$B28)+SUMIFS('TB Budget'!N$7:N$60,'TB Budget'!$D$7:$D$60,$B28)+SUMIFS('TB Budget'!O$7:O$60,'TB Budget'!$D$7:$D$60,$B28)+SUMIFS('TB Budget'!P$7:P$60,'TB Budget'!$D$7:$D$60,$B28)+SUMIFS('TB Budget'!Q$7:Q$60,'TB Budget'!$D$7:$D$60,$B28))</f>
        <v>-1159.6</v>
      </c>
      <c r="J28" s="43" t="n">
        <f aca="false">H28-I28</f>
        <v>-20.3000000000002</v>
      </c>
      <c r="K28" s="41" t="n">
        <f aca="false">IFERROR(J28/ABS(I28),"n/a")</f>
        <v>-0.0175060365643327</v>
      </c>
      <c r="M28" s="41" t="n">
        <f aca="false">IFERROR(H28/H$13,0)</f>
        <v>-0.0312551323687571</v>
      </c>
      <c r="N28" s="41" t="n">
        <f aca="false">IFERROR(I28/I$13,0)</f>
        <v>-0.0299938956887008</v>
      </c>
    </row>
    <row r="29" customFormat="false" ht="15" hidden="false" customHeight="false" outlineLevel="0" collapsed="false">
      <c r="B29" s="36" t="s">
        <v>288</v>
      </c>
      <c r="C29" s="37" t="n">
        <f aca="false">-SUMIFS('TB Actual'!Q$7:Q$60,'TB Actual'!$D$7:$D$60,$B29)</f>
        <v>-31.5</v>
      </c>
      <c r="D29" s="37" t="n">
        <f aca="false">-SUMIFS('TB Budget'!Q$7:Q$60,'TB Budget'!$D$7:$D$60,$B29)</f>
        <v>-30</v>
      </c>
      <c r="E29" s="43" t="n">
        <f aca="false">C29-D29</f>
        <v>-1.5</v>
      </c>
      <c r="F29" s="41" t="n">
        <f aca="false">IFERROR(E29/ABS(D29),"n/a")</f>
        <v>-0.05</v>
      </c>
      <c r="H29" s="37" t="n">
        <f aca="false">-(SUMIFS('TB Actual'!F$7:F$60,'TB Actual'!$D$7:$D$60,$B29)+SUMIFS('TB Actual'!G$7:G$60,'TB Actual'!$D$7:$D$60,$B29)+SUMIFS('TB Actual'!H$7:H$60,'TB Actual'!$D$7:$D$60,$B29)+SUMIFS('TB Actual'!I$7:I$60,'TB Actual'!$D$7:$D$60,$B29)+SUMIFS('TB Actual'!J$7:J$60,'TB Actual'!$D$7:$D$60,$B29)+SUMIFS('TB Actual'!K$7:K$60,'TB Actual'!$D$7:$D$60,$B29)+SUMIFS('TB Actual'!L$7:L$60,'TB Actual'!$D$7:$D$60,$B29)+SUMIFS('TB Actual'!M$7:M$60,'TB Actual'!$D$7:$D$60,$B29)+SUMIFS('TB Actual'!N$7:N$60,'TB Actual'!$D$7:$D$60,$B29)+SUMIFS('TB Actual'!O$7:O$60,'TB Actual'!$D$7:$D$60,$B29)+SUMIFS('TB Actual'!P$7:P$60,'TB Actual'!$D$7:$D$60,$B29)+SUMIFS('TB Actual'!Q$7:Q$60,'TB Actual'!$D$7:$D$60,$B29))</f>
        <v>-378</v>
      </c>
      <c r="I29" s="37" t="n">
        <f aca="false">-(SUMIFS('TB Budget'!F$7:F$60,'TB Budget'!$D$7:$D$60,$B29)+SUMIFS('TB Budget'!G$7:G$60,'TB Budget'!$D$7:$D$60,$B29)+SUMIFS('TB Budget'!H$7:H$60,'TB Budget'!$D$7:$D$60,$B29)+SUMIFS('TB Budget'!I$7:I$60,'TB Budget'!$D$7:$D$60,$B29)+SUMIFS('TB Budget'!J$7:J$60,'TB Budget'!$D$7:$D$60,$B29)+SUMIFS('TB Budget'!K$7:K$60,'TB Budget'!$D$7:$D$60,$B29)+SUMIFS('TB Budget'!L$7:L$60,'TB Budget'!$D$7:$D$60,$B29)+SUMIFS('TB Budget'!M$7:M$60,'TB Budget'!$D$7:$D$60,$B29)+SUMIFS('TB Budget'!N$7:N$60,'TB Budget'!$D$7:$D$60,$B29)+SUMIFS('TB Budget'!O$7:O$60,'TB Budget'!$D$7:$D$60,$B29)+SUMIFS('TB Budget'!P$7:P$60,'TB Budget'!$D$7:$D$60,$B29)+SUMIFS('TB Budget'!Q$7:Q$60,'TB Budget'!$D$7:$D$60,$B29))</f>
        <v>-360</v>
      </c>
      <c r="J29" s="43" t="n">
        <f aca="false">H29-I29</f>
        <v>-18</v>
      </c>
      <c r="K29" s="41" t="n">
        <f aca="false">IFERROR(J29/ABS(I29),"n/a")</f>
        <v>-0.05</v>
      </c>
      <c r="M29" s="41" t="n">
        <f aca="false">IFERROR(H29/H$13,0)</f>
        <v>-0.0100130858847277</v>
      </c>
      <c r="N29" s="41" t="n">
        <f aca="false">IFERROR(I29/I$13,0)</f>
        <v>-0.00931166130383951</v>
      </c>
    </row>
    <row r="30" customFormat="false" ht="15" hidden="false" customHeight="false" outlineLevel="0" collapsed="false">
      <c r="B30" s="36" t="s">
        <v>291</v>
      </c>
      <c r="C30" s="37" t="n">
        <f aca="false">-SUMIFS('TB Actual'!Q$7:Q$60,'TB Actual'!$D$7:$D$60,$B30)</f>
        <v>-44.5</v>
      </c>
      <c r="D30" s="37" t="n">
        <f aca="false">-SUMIFS('TB Budget'!Q$7:Q$60,'TB Budget'!$D$7:$D$60,$B30)</f>
        <v>-32</v>
      </c>
      <c r="E30" s="43" t="n">
        <f aca="false">C30-D30</f>
        <v>-12.5</v>
      </c>
      <c r="F30" s="41" t="n">
        <f aca="false">IFERROR(E30/ABS(D30),"n/a")</f>
        <v>-0.390625</v>
      </c>
      <c r="H30" s="37" t="n">
        <f aca="false">-(SUMIFS('TB Actual'!F$7:F$60,'TB Actual'!$D$7:$D$60,$B30)+SUMIFS('TB Actual'!G$7:G$60,'TB Actual'!$D$7:$D$60,$B30)+SUMIFS('TB Actual'!H$7:H$60,'TB Actual'!$D$7:$D$60,$B30)+SUMIFS('TB Actual'!I$7:I$60,'TB Actual'!$D$7:$D$60,$B30)+SUMIFS('TB Actual'!J$7:J$60,'TB Actual'!$D$7:$D$60,$B30)+SUMIFS('TB Actual'!K$7:K$60,'TB Actual'!$D$7:$D$60,$B30)+SUMIFS('TB Actual'!L$7:L$60,'TB Actual'!$D$7:$D$60,$B30)+SUMIFS('TB Actual'!M$7:M$60,'TB Actual'!$D$7:$D$60,$B30)+SUMIFS('TB Actual'!N$7:N$60,'TB Actual'!$D$7:$D$60,$B30)+SUMIFS('TB Actual'!O$7:O$60,'TB Actual'!$D$7:$D$60,$B30)+SUMIFS('TB Actual'!P$7:P$60,'TB Actual'!$D$7:$D$60,$B30)+SUMIFS('TB Actual'!Q$7:Q$60,'TB Actual'!$D$7:$D$60,$B30))</f>
        <v>-342</v>
      </c>
      <c r="I30" s="37" t="n">
        <f aca="false">-(SUMIFS('TB Budget'!F$7:F$60,'TB Budget'!$D$7:$D$60,$B30)+SUMIFS('TB Budget'!G$7:G$60,'TB Budget'!$D$7:$D$60,$B30)+SUMIFS('TB Budget'!H$7:H$60,'TB Budget'!$D$7:$D$60,$B30)+SUMIFS('TB Budget'!I$7:I$60,'TB Budget'!$D$7:$D$60,$B30)+SUMIFS('TB Budget'!J$7:J$60,'TB Budget'!$D$7:$D$60,$B30)+SUMIFS('TB Budget'!K$7:K$60,'TB Budget'!$D$7:$D$60,$B30)+SUMIFS('TB Budget'!L$7:L$60,'TB Budget'!$D$7:$D$60,$B30)+SUMIFS('TB Budget'!M$7:M$60,'TB Budget'!$D$7:$D$60,$B30)+SUMIFS('TB Budget'!N$7:N$60,'TB Budget'!$D$7:$D$60,$B30)+SUMIFS('TB Budget'!O$7:O$60,'TB Budget'!$D$7:$D$60,$B30)+SUMIFS('TB Budget'!P$7:P$60,'TB Budget'!$D$7:$D$60,$B30)+SUMIFS('TB Budget'!Q$7:Q$60,'TB Budget'!$D$7:$D$60,$B30))</f>
        <v>-320</v>
      </c>
      <c r="J30" s="43" t="n">
        <f aca="false">H30-I30</f>
        <v>-21.9999999999999</v>
      </c>
      <c r="K30" s="41" t="n">
        <f aca="false">IFERROR(J30/ABS(I30),"n/a")</f>
        <v>-0.0687499999999998</v>
      </c>
      <c r="M30" s="41" t="n">
        <f aca="false">IFERROR(H30/H$13,0)</f>
        <v>-0.00905945865761074</v>
      </c>
      <c r="N30" s="41" t="n">
        <f aca="false">IFERROR(I30/I$13,0)</f>
        <v>-0.00827703227007956</v>
      </c>
    </row>
    <row r="31" customFormat="false" ht="15" hidden="false" customHeight="false" outlineLevel="0" collapsed="false">
      <c r="B31" s="36" t="s">
        <v>294</v>
      </c>
      <c r="C31" s="37" t="n">
        <f aca="false">-SUMIFS('TB Actual'!Q$7:Q$60,'TB Actual'!$D$7:$D$60,$B31)</f>
        <v>-28.1</v>
      </c>
      <c r="D31" s="37" t="n">
        <f aca="false">-SUMIFS('TB Budget'!Q$7:Q$60,'TB Budget'!$D$7:$D$60,$B31)</f>
        <v>-30</v>
      </c>
      <c r="E31" s="43" t="n">
        <f aca="false">C31-D31</f>
        <v>1.9</v>
      </c>
      <c r="F31" s="41" t="n">
        <f aca="false">IFERROR(E31/ABS(D31),"n/a")</f>
        <v>0.0633333333333333</v>
      </c>
      <c r="H31" s="37" t="n">
        <f aca="false">-(SUMIFS('TB Actual'!F$7:F$60,'TB Actual'!$D$7:$D$60,$B31)+SUMIFS('TB Actual'!G$7:G$60,'TB Actual'!$D$7:$D$60,$B31)+SUMIFS('TB Actual'!H$7:H$60,'TB Actual'!$D$7:$D$60,$B31)+SUMIFS('TB Actual'!I$7:I$60,'TB Actual'!$D$7:$D$60,$B31)+SUMIFS('TB Actual'!J$7:J$60,'TB Actual'!$D$7:$D$60,$B31)+SUMIFS('TB Actual'!K$7:K$60,'TB Actual'!$D$7:$D$60,$B31)+SUMIFS('TB Actual'!L$7:L$60,'TB Actual'!$D$7:$D$60,$B31)+SUMIFS('TB Actual'!M$7:M$60,'TB Actual'!$D$7:$D$60,$B31)+SUMIFS('TB Actual'!N$7:N$60,'TB Actual'!$D$7:$D$60,$B31)+SUMIFS('TB Actual'!O$7:O$60,'TB Actual'!$D$7:$D$60,$B31)+SUMIFS('TB Actual'!P$7:P$60,'TB Actual'!$D$7:$D$60,$B31)+SUMIFS('TB Actual'!Q$7:Q$60,'TB Actual'!$D$7:$D$60,$B31))</f>
        <v>-337.2</v>
      </c>
      <c r="I31" s="37" t="n">
        <f aca="false">-(SUMIFS('TB Budget'!F$7:F$60,'TB Budget'!$D$7:$D$60,$B31)+SUMIFS('TB Budget'!G$7:G$60,'TB Budget'!$D$7:$D$60,$B31)+SUMIFS('TB Budget'!H$7:H$60,'TB Budget'!$D$7:$D$60,$B31)+SUMIFS('TB Budget'!I$7:I$60,'TB Budget'!$D$7:$D$60,$B31)+SUMIFS('TB Budget'!J$7:J$60,'TB Budget'!$D$7:$D$60,$B31)+SUMIFS('TB Budget'!K$7:K$60,'TB Budget'!$D$7:$D$60,$B31)+SUMIFS('TB Budget'!L$7:L$60,'TB Budget'!$D$7:$D$60,$B31)+SUMIFS('TB Budget'!M$7:M$60,'TB Budget'!$D$7:$D$60,$B31)+SUMIFS('TB Budget'!N$7:N$60,'TB Budget'!$D$7:$D$60,$B31)+SUMIFS('TB Budget'!O$7:O$60,'TB Budget'!$D$7:$D$60,$B31)+SUMIFS('TB Budget'!P$7:P$60,'TB Budget'!$D$7:$D$60,$B31)+SUMIFS('TB Budget'!Q$7:Q$60,'TB Budget'!$D$7:$D$60,$B31))</f>
        <v>-360</v>
      </c>
      <c r="J31" s="43" t="n">
        <f aca="false">H31-I31</f>
        <v>22.8</v>
      </c>
      <c r="K31" s="41" t="n">
        <f aca="false">IFERROR(J31/ABS(I31),"n/a")</f>
        <v>0.0633333333333332</v>
      </c>
      <c r="M31" s="41" t="n">
        <f aca="false">IFERROR(H31/H$13,0)</f>
        <v>-0.00893230836066182</v>
      </c>
      <c r="N31" s="41" t="n">
        <f aca="false">IFERROR(I31/I$13,0)</f>
        <v>-0.00931166130383951</v>
      </c>
    </row>
    <row r="32" customFormat="false" ht="15" hidden="false" customHeight="false" outlineLevel="0" collapsed="false">
      <c r="B32" s="39" t="s">
        <v>338</v>
      </c>
      <c r="C32" s="40" t="n">
        <f aca="false">SUM(C22:C31)+C19</f>
        <v>133.5</v>
      </c>
      <c r="D32" s="40" t="n">
        <f aca="false">SUM(D22:D31)+D19</f>
        <v>249.8</v>
      </c>
      <c r="E32" s="40" t="n">
        <f aca="false">C32-D32</f>
        <v>-116.3</v>
      </c>
      <c r="F32" s="44" t="n">
        <f aca="false">IFERROR(E32/ABS(D32),"n/a")</f>
        <v>-0.465572457966372</v>
      </c>
      <c r="G32" s="45"/>
      <c r="H32" s="40" t="n">
        <f aca="false">SUM(H22:H31)+H19</f>
        <v>4298.9</v>
      </c>
      <c r="I32" s="40" t="n">
        <f aca="false">SUM(I22:I31)+I19</f>
        <v>4806.09999999999</v>
      </c>
      <c r="J32" s="40" t="n">
        <f aca="false">H32-I32</f>
        <v>-507.199999999993</v>
      </c>
      <c r="K32" s="44" t="n">
        <f aca="false">IFERROR(J32/ABS(I32),"n/a")</f>
        <v>-0.105532552381348</v>
      </c>
      <c r="L32" s="45"/>
      <c r="M32" s="46" t="n">
        <f aca="false">IFERROR(H32/H$13,0)</f>
        <v>0.113876335740359</v>
      </c>
      <c r="N32" s="46" t="n">
        <f aca="false">IFERROR(I32/I$13,0)</f>
        <v>0.124313264978842</v>
      </c>
    </row>
    <row r="34" customFormat="false" ht="15" hidden="false" customHeight="false" outlineLevel="0" collapsed="false">
      <c r="B34" s="11" t="s">
        <v>339</v>
      </c>
    </row>
    <row r="35" customFormat="false" ht="15" hidden="false" customHeight="false" outlineLevel="0" collapsed="false">
      <c r="B35" s="36" t="s">
        <v>297</v>
      </c>
      <c r="C35" s="37" t="n">
        <f aca="false">-SUMIFS('TB Actual'!Q$7:Q$60,'TB Actual'!$D$7:$D$60,$B35)</f>
        <v>-20.5</v>
      </c>
      <c r="D35" s="37" t="n">
        <f aca="false">-SUMIFS('TB Budget'!Q$7:Q$60,'TB Budget'!$D$7:$D$60,$B35)</f>
        <v>-20.5</v>
      </c>
      <c r="E35" s="43" t="n">
        <f aca="false">C35-D35</f>
        <v>0</v>
      </c>
      <c r="F35" s="41" t="n">
        <f aca="false">IFERROR(E35/ABS(D35),"n/a")</f>
        <v>0</v>
      </c>
      <c r="H35" s="37" t="n">
        <f aca="false">-(SUMIFS('TB Actual'!F$7:F$60,'TB Actual'!$D$7:$D$60,$B35)+SUMIFS('TB Actual'!G$7:G$60,'TB Actual'!$D$7:$D$60,$B35)+SUMIFS('TB Actual'!H$7:H$60,'TB Actual'!$D$7:$D$60,$B35)+SUMIFS('TB Actual'!I$7:I$60,'TB Actual'!$D$7:$D$60,$B35)+SUMIFS('TB Actual'!J$7:J$60,'TB Actual'!$D$7:$D$60,$B35)+SUMIFS('TB Actual'!K$7:K$60,'TB Actual'!$D$7:$D$60,$B35)+SUMIFS('TB Actual'!L$7:L$60,'TB Actual'!$D$7:$D$60,$B35)+SUMIFS('TB Actual'!M$7:M$60,'TB Actual'!$D$7:$D$60,$B35)+SUMIFS('TB Actual'!N$7:N$60,'TB Actual'!$D$7:$D$60,$B35)+SUMIFS('TB Actual'!O$7:O$60,'TB Actual'!$D$7:$D$60,$B35)+SUMIFS('TB Actual'!P$7:P$60,'TB Actual'!$D$7:$D$60,$B35)+SUMIFS('TB Actual'!Q$7:Q$60,'TB Actual'!$D$7:$D$60,$B35))</f>
        <v>-246</v>
      </c>
      <c r="I35" s="37" t="n">
        <f aca="false">-(SUMIFS('TB Budget'!F$7:F$60,'TB Budget'!$D$7:$D$60,$B35)+SUMIFS('TB Budget'!G$7:G$60,'TB Budget'!$D$7:$D$60,$B35)+SUMIFS('TB Budget'!H$7:H$60,'TB Budget'!$D$7:$D$60,$B35)+SUMIFS('TB Budget'!I$7:I$60,'TB Budget'!$D$7:$D$60,$B35)+SUMIFS('TB Budget'!J$7:J$60,'TB Budget'!$D$7:$D$60,$B35)+SUMIFS('TB Budget'!K$7:K$60,'TB Budget'!$D$7:$D$60,$B35)+SUMIFS('TB Budget'!L$7:L$60,'TB Budget'!$D$7:$D$60,$B35)+SUMIFS('TB Budget'!M$7:M$60,'TB Budget'!$D$7:$D$60,$B35)+SUMIFS('TB Budget'!N$7:N$60,'TB Budget'!$D$7:$D$60,$B35)+SUMIFS('TB Budget'!O$7:O$60,'TB Budget'!$D$7:$D$60,$B35)+SUMIFS('TB Budget'!P$7:P$60,'TB Budget'!$D$7:$D$60,$B35)+SUMIFS('TB Budget'!Q$7:Q$60,'TB Budget'!$D$7:$D$60,$B35))</f>
        <v>-246</v>
      </c>
      <c r="J35" s="43" t="n">
        <f aca="false">H35-I35</f>
        <v>0</v>
      </c>
      <c r="K35" s="41" t="n">
        <f aca="false">IFERROR(J35/ABS(I35),"n/a")</f>
        <v>0</v>
      </c>
      <c r="M35" s="41" t="n">
        <f aca="false">IFERROR(H35/H$13,0)</f>
        <v>-0.00651645271863229</v>
      </c>
      <c r="N35" s="41" t="n">
        <f aca="false">IFERROR(I35/I$13,0)</f>
        <v>-0.00636296855762366</v>
      </c>
    </row>
    <row r="36" customFormat="false" ht="15" hidden="false" customHeight="false" outlineLevel="0" collapsed="false">
      <c r="B36" s="36" t="s">
        <v>300</v>
      </c>
      <c r="C36" s="37" t="n">
        <f aca="false">-SUMIFS('TB Actual'!Q$7:Q$60,'TB Actual'!$D$7:$D$60,$B36)</f>
        <v>-43.5</v>
      </c>
      <c r="D36" s="37" t="n">
        <f aca="false">-SUMIFS('TB Budget'!Q$7:Q$60,'TB Budget'!$D$7:$D$60,$B36)</f>
        <v>-43.5</v>
      </c>
      <c r="E36" s="43" t="n">
        <f aca="false">C36-D36</f>
        <v>0</v>
      </c>
      <c r="F36" s="41" t="n">
        <f aca="false">IFERROR(E36/ABS(D36),"n/a")</f>
        <v>0</v>
      </c>
      <c r="H36" s="37" t="n">
        <f aca="false">-(SUMIFS('TB Actual'!F$7:F$60,'TB Actual'!$D$7:$D$60,$B36)+SUMIFS('TB Actual'!G$7:G$60,'TB Actual'!$D$7:$D$60,$B36)+SUMIFS('TB Actual'!H$7:H$60,'TB Actual'!$D$7:$D$60,$B36)+SUMIFS('TB Actual'!I$7:I$60,'TB Actual'!$D$7:$D$60,$B36)+SUMIFS('TB Actual'!J$7:J$60,'TB Actual'!$D$7:$D$60,$B36)+SUMIFS('TB Actual'!K$7:K$60,'TB Actual'!$D$7:$D$60,$B36)+SUMIFS('TB Actual'!L$7:L$60,'TB Actual'!$D$7:$D$60,$B36)+SUMIFS('TB Actual'!M$7:M$60,'TB Actual'!$D$7:$D$60,$B36)+SUMIFS('TB Actual'!N$7:N$60,'TB Actual'!$D$7:$D$60,$B36)+SUMIFS('TB Actual'!O$7:O$60,'TB Actual'!$D$7:$D$60,$B36)+SUMIFS('TB Actual'!P$7:P$60,'TB Actual'!$D$7:$D$60,$B36)+SUMIFS('TB Actual'!Q$7:Q$60,'TB Actual'!$D$7:$D$60,$B36))</f>
        <v>-522</v>
      </c>
      <c r="I36" s="37" t="n">
        <f aca="false">-(SUMIFS('TB Budget'!F$7:F$60,'TB Budget'!$D$7:$D$60,$B36)+SUMIFS('TB Budget'!G$7:G$60,'TB Budget'!$D$7:$D$60,$B36)+SUMIFS('TB Budget'!H$7:H$60,'TB Budget'!$D$7:$D$60,$B36)+SUMIFS('TB Budget'!I$7:I$60,'TB Budget'!$D$7:$D$60,$B36)+SUMIFS('TB Budget'!J$7:J$60,'TB Budget'!$D$7:$D$60,$B36)+SUMIFS('TB Budget'!K$7:K$60,'TB Budget'!$D$7:$D$60,$B36)+SUMIFS('TB Budget'!L$7:L$60,'TB Budget'!$D$7:$D$60,$B36)+SUMIFS('TB Budget'!M$7:M$60,'TB Budget'!$D$7:$D$60,$B36)+SUMIFS('TB Budget'!N$7:N$60,'TB Budget'!$D$7:$D$60,$B36)+SUMIFS('TB Budget'!O$7:O$60,'TB Budget'!$D$7:$D$60,$B36)+SUMIFS('TB Budget'!P$7:P$60,'TB Budget'!$D$7:$D$60,$B36)+SUMIFS('TB Budget'!Q$7:Q$60,'TB Budget'!$D$7:$D$60,$B36))</f>
        <v>-522</v>
      </c>
      <c r="J36" s="43" t="n">
        <f aca="false">H36-I36</f>
        <v>0</v>
      </c>
      <c r="K36" s="41" t="n">
        <f aca="false">IFERROR(J36/ABS(I36),"n/a")</f>
        <v>0</v>
      </c>
      <c r="M36" s="41" t="n">
        <f aca="false">IFERROR(H36/H$13,0)</f>
        <v>-0.0138275947931953</v>
      </c>
      <c r="N36" s="41" t="n">
        <f aca="false">IFERROR(I36/I$13,0)</f>
        <v>-0.0135019088905673</v>
      </c>
    </row>
    <row r="37" customFormat="false" ht="15" hidden="false" customHeight="false" outlineLevel="0" collapsed="false">
      <c r="B37" s="36" t="s">
        <v>303</v>
      </c>
      <c r="C37" s="37" t="n">
        <f aca="false">-SUMIFS('TB Actual'!Q$7:Q$60,'TB Actual'!$D$7:$D$60,$B37)</f>
        <v>-25.8</v>
      </c>
      <c r="D37" s="37" t="n">
        <f aca="false">-SUMIFS('TB Budget'!Q$7:Q$60,'TB Budget'!$D$7:$D$60,$B37)</f>
        <v>-25.8</v>
      </c>
      <c r="E37" s="43" t="n">
        <f aca="false">C37-D37</f>
        <v>0</v>
      </c>
      <c r="F37" s="41" t="n">
        <f aca="false">IFERROR(E37/ABS(D37),"n/a")</f>
        <v>0</v>
      </c>
      <c r="H37" s="37" t="n">
        <f aca="false">-(SUMIFS('TB Actual'!F$7:F$60,'TB Actual'!$D$7:$D$60,$B37)+SUMIFS('TB Actual'!G$7:G$60,'TB Actual'!$D$7:$D$60,$B37)+SUMIFS('TB Actual'!H$7:H$60,'TB Actual'!$D$7:$D$60,$B37)+SUMIFS('TB Actual'!I$7:I$60,'TB Actual'!$D$7:$D$60,$B37)+SUMIFS('TB Actual'!J$7:J$60,'TB Actual'!$D$7:$D$60,$B37)+SUMIFS('TB Actual'!K$7:K$60,'TB Actual'!$D$7:$D$60,$B37)+SUMIFS('TB Actual'!L$7:L$60,'TB Actual'!$D$7:$D$60,$B37)+SUMIFS('TB Actual'!M$7:M$60,'TB Actual'!$D$7:$D$60,$B37)+SUMIFS('TB Actual'!N$7:N$60,'TB Actual'!$D$7:$D$60,$B37)+SUMIFS('TB Actual'!O$7:O$60,'TB Actual'!$D$7:$D$60,$B37)+SUMIFS('TB Actual'!P$7:P$60,'TB Actual'!$D$7:$D$60,$B37)+SUMIFS('TB Actual'!Q$7:Q$60,'TB Actual'!$D$7:$D$60,$B37))</f>
        <v>-309.6</v>
      </c>
      <c r="I37" s="37" t="n">
        <f aca="false">-(SUMIFS('TB Budget'!F$7:F$60,'TB Budget'!$D$7:$D$60,$B37)+SUMIFS('TB Budget'!G$7:G$60,'TB Budget'!$D$7:$D$60,$B37)+SUMIFS('TB Budget'!H$7:H$60,'TB Budget'!$D$7:$D$60,$B37)+SUMIFS('TB Budget'!I$7:I$60,'TB Budget'!$D$7:$D$60,$B37)+SUMIFS('TB Budget'!J$7:J$60,'TB Budget'!$D$7:$D$60,$B37)+SUMIFS('TB Budget'!K$7:K$60,'TB Budget'!$D$7:$D$60,$B37)+SUMIFS('TB Budget'!L$7:L$60,'TB Budget'!$D$7:$D$60,$B37)+SUMIFS('TB Budget'!M$7:M$60,'TB Budget'!$D$7:$D$60,$B37)+SUMIFS('TB Budget'!N$7:N$60,'TB Budget'!$D$7:$D$60,$B37)+SUMIFS('TB Budget'!O$7:O$60,'TB Budget'!$D$7:$D$60,$B37)+SUMIFS('TB Budget'!P$7:P$60,'TB Budget'!$D$7:$D$60,$B37)+SUMIFS('TB Budget'!Q$7:Q$60,'TB Budget'!$D$7:$D$60,$B37))</f>
        <v>-309.6</v>
      </c>
      <c r="J37" s="43" t="n">
        <f aca="false">H37-I37</f>
        <v>0</v>
      </c>
      <c r="K37" s="41" t="n">
        <f aca="false">IFERROR(J37/ABS(I37),"n/a")</f>
        <v>0</v>
      </c>
      <c r="M37" s="41" t="n">
        <f aca="false">IFERROR(H37/H$13,0)</f>
        <v>-0.00820119415320551</v>
      </c>
      <c r="N37" s="41" t="n">
        <f aca="false">IFERROR(I37/I$13,0)</f>
        <v>-0.00800802872130198</v>
      </c>
    </row>
    <row r="38" customFormat="false" ht="15" hidden="false" customHeight="false" outlineLevel="0" collapsed="false">
      <c r="B38" s="39" t="s">
        <v>340</v>
      </c>
      <c r="C38" s="40" t="n">
        <f aca="false">SUM(C35:C37)+C32</f>
        <v>43.7000000000002</v>
      </c>
      <c r="D38" s="40" t="n">
        <f aca="false">SUM(D35:D37)+D32</f>
        <v>160</v>
      </c>
      <c r="E38" s="40" t="n">
        <f aca="false">C38-D38</f>
        <v>-116.3</v>
      </c>
      <c r="F38" s="44" t="n">
        <f aca="false">IFERROR(E38/ABS(D38),"n/a")</f>
        <v>-0.726874999999999</v>
      </c>
      <c r="G38" s="45"/>
      <c r="H38" s="40" t="n">
        <f aca="false">SUM(H35:H37)+H32</f>
        <v>3221.3</v>
      </c>
      <c r="I38" s="40" t="n">
        <f aca="false">SUM(I35:I37)+I32</f>
        <v>3728.49999999999</v>
      </c>
      <c r="J38" s="40" t="n">
        <f aca="false">H38-I38</f>
        <v>-507.199999999993</v>
      </c>
      <c r="K38" s="44" t="n">
        <f aca="false">IFERROR(J38/ABS(I38),"n/a")</f>
        <v>-0.136033257342093</v>
      </c>
      <c r="L38" s="45"/>
      <c r="M38" s="46" t="n">
        <f aca="false">IFERROR(H38/H$13,0)</f>
        <v>0.0853310940753259</v>
      </c>
      <c r="N38" s="46" t="n">
        <f aca="false">IFERROR(I38/I$13,0)</f>
        <v>0.0964403588093487</v>
      </c>
    </row>
    <row r="40" customFormat="false" ht="15" hidden="false" customHeight="false" outlineLevel="0" collapsed="false">
      <c r="B40" s="11" t="s">
        <v>341</v>
      </c>
    </row>
    <row r="41" customFormat="false" ht="15" hidden="false" customHeight="false" outlineLevel="0" collapsed="false">
      <c r="B41" s="36" t="s">
        <v>306</v>
      </c>
      <c r="C41" s="37" t="n">
        <f aca="false">-SUMIFS('TB Actual'!Q$7:Q$60,'TB Actual'!$D$7:$D$60,$B41)</f>
        <v>-9.8</v>
      </c>
      <c r="D41" s="37" t="n">
        <f aca="false">-SUMIFS('TB Budget'!Q$7:Q$60,'TB Budget'!$D$7:$D$60,$B41)</f>
        <v>-9.8</v>
      </c>
      <c r="E41" s="43" t="n">
        <f aca="false">C41-D41</f>
        <v>0</v>
      </c>
      <c r="F41" s="41" t="n">
        <f aca="false">IFERROR(E41/ABS(D41),"n/a")</f>
        <v>0</v>
      </c>
      <c r="H41" s="37" t="n">
        <f aca="false">-(SUMIFS('TB Actual'!F$7:F$60,'TB Actual'!$D$7:$D$60,$B41)+SUMIFS('TB Actual'!G$7:G$60,'TB Actual'!$D$7:$D$60,$B41)+SUMIFS('TB Actual'!H$7:H$60,'TB Actual'!$D$7:$D$60,$B41)+SUMIFS('TB Actual'!I$7:I$60,'TB Actual'!$D$7:$D$60,$B41)+SUMIFS('TB Actual'!J$7:J$60,'TB Actual'!$D$7:$D$60,$B41)+SUMIFS('TB Actual'!K$7:K$60,'TB Actual'!$D$7:$D$60,$B41)+SUMIFS('TB Actual'!L$7:L$60,'TB Actual'!$D$7:$D$60,$B41)+SUMIFS('TB Actual'!M$7:M$60,'TB Actual'!$D$7:$D$60,$B41)+SUMIFS('TB Actual'!N$7:N$60,'TB Actual'!$D$7:$D$60,$B41)+SUMIFS('TB Actual'!O$7:O$60,'TB Actual'!$D$7:$D$60,$B41)+SUMIFS('TB Actual'!P$7:P$60,'TB Actual'!$D$7:$D$60,$B41)+SUMIFS('TB Actual'!Q$7:Q$60,'TB Actual'!$D$7:$D$60,$B41))</f>
        <v>-136.5</v>
      </c>
      <c r="I41" s="37" t="n">
        <f aca="false">-(SUMIFS('TB Budget'!F$7:F$60,'TB Budget'!$D$7:$D$60,$B41)+SUMIFS('TB Budget'!G$7:G$60,'TB Budget'!$D$7:$D$60,$B41)+SUMIFS('TB Budget'!H$7:H$60,'TB Budget'!$D$7:$D$60,$B41)+SUMIFS('TB Budget'!I$7:I$60,'TB Budget'!$D$7:$D$60,$B41)+SUMIFS('TB Budget'!J$7:J$60,'TB Budget'!$D$7:$D$60,$B41)+SUMIFS('TB Budget'!K$7:K$60,'TB Budget'!$D$7:$D$60,$B41)+SUMIFS('TB Budget'!L$7:L$60,'TB Budget'!$D$7:$D$60,$B41)+SUMIFS('TB Budget'!M$7:M$60,'TB Budget'!$D$7:$D$60,$B41)+SUMIFS('TB Budget'!N$7:N$60,'TB Budget'!$D$7:$D$60,$B41)+SUMIFS('TB Budget'!O$7:O$60,'TB Budget'!$D$7:$D$60,$B41)+SUMIFS('TB Budget'!P$7:P$60,'TB Budget'!$D$7:$D$60,$B41)+SUMIFS('TB Budget'!Q$7:Q$60,'TB Budget'!$D$7:$D$60,$B41))</f>
        <v>-136.5</v>
      </c>
      <c r="J41" s="43" t="n">
        <f aca="false">H41-I41</f>
        <v>0</v>
      </c>
      <c r="K41" s="41" t="n">
        <f aca="false">IFERROR(J41/ABS(I41),"n/a")</f>
        <v>0</v>
      </c>
      <c r="M41" s="41" t="n">
        <f aca="false">IFERROR(H41/H$13,0)</f>
        <v>-0.00361583656948499</v>
      </c>
      <c r="N41" s="41" t="n">
        <f aca="false">IFERROR(I41/I$13,0)</f>
        <v>-0.00353067157770581</v>
      </c>
    </row>
    <row r="42" customFormat="false" ht="15" hidden="false" customHeight="false" outlineLevel="0" collapsed="false">
      <c r="B42" s="36" t="s">
        <v>310</v>
      </c>
      <c r="C42" s="37" t="n">
        <f aca="false">-SUMIFS('TB Actual'!Q$7:Q$60,'TB Actual'!$D$7:$D$60,$B42)</f>
        <v>-9.8</v>
      </c>
      <c r="D42" s="37" t="n">
        <f aca="false">-SUMIFS('TB Budget'!Q$7:Q$60,'TB Budget'!$D$7:$D$60,$B42)</f>
        <v>-8</v>
      </c>
      <c r="E42" s="43" t="n">
        <f aca="false">C42-D42</f>
        <v>-1.8</v>
      </c>
      <c r="F42" s="41" t="n">
        <f aca="false">IFERROR(E42/ABS(D42),"n/a")</f>
        <v>-0.225</v>
      </c>
      <c r="H42" s="37" t="n">
        <f aca="false">-(SUMIFS('TB Actual'!F$7:F$60,'TB Actual'!$D$7:$D$60,$B42)+SUMIFS('TB Actual'!G$7:G$60,'TB Actual'!$D$7:$D$60,$B42)+SUMIFS('TB Actual'!H$7:H$60,'TB Actual'!$D$7:$D$60,$B42)+SUMIFS('TB Actual'!I$7:I$60,'TB Actual'!$D$7:$D$60,$B42)+SUMIFS('TB Actual'!J$7:J$60,'TB Actual'!$D$7:$D$60,$B42)+SUMIFS('TB Actual'!K$7:K$60,'TB Actual'!$D$7:$D$60,$B42)+SUMIFS('TB Actual'!L$7:L$60,'TB Actual'!$D$7:$D$60,$B42)+SUMIFS('TB Actual'!M$7:M$60,'TB Actual'!$D$7:$D$60,$B42)+SUMIFS('TB Actual'!N$7:N$60,'TB Actual'!$D$7:$D$60,$B42)+SUMIFS('TB Actual'!O$7:O$60,'TB Actual'!$D$7:$D$60,$B42)+SUMIFS('TB Actual'!P$7:P$60,'TB Actual'!$D$7:$D$60,$B42)+SUMIFS('TB Actual'!Q$7:Q$60,'TB Actual'!$D$7:$D$60,$B42))</f>
        <v>-115</v>
      </c>
      <c r="I42" s="37" t="n">
        <f aca="false">-(SUMIFS('TB Budget'!F$7:F$60,'TB Budget'!$D$7:$D$60,$B42)+SUMIFS('TB Budget'!G$7:G$60,'TB Budget'!$D$7:$D$60,$B42)+SUMIFS('TB Budget'!H$7:H$60,'TB Budget'!$D$7:$D$60,$B42)+SUMIFS('TB Budget'!I$7:I$60,'TB Budget'!$D$7:$D$60,$B42)+SUMIFS('TB Budget'!J$7:J$60,'TB Budget'!$D$7:$D$60,$B42)+SUMIFS('TB Budget'!K$7:K$60,'TB Budget'!$D$7:$D$60,$B42)+SUMIFS('TB Budget'!L$7:L$60,'TB Budget'!$D$7:$D$60,$B42)+SUMIFS('TB Budget'!M$7:M$60,'TB Budget'!$D$7:$D$60,$B42)+SUMIFS('TB Budget'!N$7:N$60,'TB Budget'!$D$7:$D$60,$B42)+SUMIFS('TB Budget'!O$7:O$60,'TB Budget'!$D$7:$D$60,$B42)+SUMIFS('TB Budget'!P$7:P$60,'TB Budget'!$D$7:$D$60,$B42)+SUMIFS('TB Budget'!Q$7:Q$60,'TB Budget'!$D$7:$D$60,$B42))</f>
        <v>-111.4</v>
      </c>
      <c r="J42" s="43" t="n">
        <f aca="false">H42-I42</f>
        <v>-3.59999999999999</v>
      </c>
      <c r="K42" s="41" t="n">
        <f aca="false">IFERROR(J42/ABS(I42),"n/a")</f>
        <v>-0.0323159784560143</v>
      </c>
      <c r="M42" s="41" t="n">
        <f aca="false">IFERROR(H42/H$13,0)</f>
        <v>-0.00304630919773461</v>
      </c>
      <c r="N42" s="41" t="n">
        <f aca="false">IFERROR(I42/I$13,0)</f>
        <v>-0.00288144185902145</v>
      </c>
    </row>
    <row r="43" customFormat="false" ht="15" hidden="false" customHeight="false" outlineLevel="0" collapsed="false">
      <c r="B43" s="36" t="s">
        <v>312</v>
      </c>
      <c r="C43" s="37" t="n">
        <f aca="false">-SUMIFS('TB Actual'!Q$7:Q$60,'TB Actual'!$D$7:$D$60,$B43)</f>
        <v>-11.8</v>
      </c>
      <c r="D43" s="37" t="n">
        <f aca="false">-SUMIFS('TB Budget'!Q$7:Q$60,'TB Budget'!$D$7:$D$60,$B43)</f>
        <v>-3.3</v>
      </c>
      <c r="E43" s="43" t="n">
        <f aca="false">C43-D43</f>
        <v>-8.5</v>
      </c>
      <c r="F43" s="41" t="n">
        <f aca="false">IFERROR(E43/ABS(D43),"n/a")</f>
        <v>-2.57575757575758</v>
      </c>
      <c r="H43" s="37" t="n">
        <f aca="false">-(SUMIFS('TB Actual'!F$7:F$60,'TB Actual'!$D$7:$D$60,$B43)+SUMIFS('TB Actual'!G$7:G$60,'TB Actual'!$D$7:$D$60,$B43)+SUMIFS('TB Actual'!H$7:H$60,'TB Actual'!$D$7:$D$60,$B43)+SUMIFS('TB Actual'!I$7:I$60,'TB Actual'!$D$7:$D$60,$B43)+SUMIFS('TB Actual'!J$7:J$60,'TB Actual'!$D$7:$D$60,$B43)+SUMIFS('TB Actual'!K$7:K$60,'TB Actual'!$D$7:$D$60,$B43)+SUMIFS('TB Actual'!L$7:L$60,'TB Actual'!$D$7:$D$60,$B43)+SUMIFS('TB Actual'!M$7:M$60,'TB Actual'!$D$7:$D$60,$B43)+SUMIFS('TB Actual'!N$7:N$60,'TB Actual'!$D$7:$D$60,$B43)+SUMIFS('TB Actual'!O$7:O$60,'TB Actual'!$D$7:$D$60,$B43)+SUMIFS('TB Actual'!P$7:P$60,'TB Actual'!$D$7:$D$60,$B43)+SUMIFS('TB Actual'!Q$7:Q$60,'TB Actual'!$D$7:$D$60,$B43))</f>
        <v>-118</v>
      </c>
      <c r="I43" s="37" t="n">
        <f aca="false">-(SUMIFS('TB Budget'!F$7:F$60,'TB Budget'!$D$7:$D$60,$B43)+SUMIFS('TB Budget'!G$7:G$60,'TB Budget'!$D$7:$D$60,$B43)+SUMIFS('TB Budget'!H$7:H$60,'TB Budget'!$D$7:$D$60,$B43)+SUMIFS('TB Budget'!I$7:I$60,'TB Budget'!$D$7:$D$60,$B43)+SUMIFS('TB Budget'!J$7:J$60,'TB Budget'!$D$7:$D$60,$B43)+SUMIFS('TB Budget'!K$7:K$60,'TB Budget'!$D$7:$D$60,$B43)+SUMIFS('TB Budget'!L$7:L$60,'TB Budget'!$D$7:$D$60,$B43)+SUMIFS('TB Budget'!M$7:M$60,'TB Budget'!$D$7:$D$60,$B43)+SUMIFS('TB Budget'!N$7:N$60,'TB Budget'!$D$7:$D$60,$B43)+SUMIFS('TB Budget'!O$7:O$60,'TB Budget'!$D$7:$D$60,$B43)+SUMIFS('TB Budget'!P$7:P$60,'TB Budget'!$D$7:$D$60,$B43)+SUMIFS('TB Budget'!Q$7:Q$60,'TB Budget'!$D$7:$D$60,$B43))</f>
        <v>-39.6</v>
      </c>
      <c r="J43" s="43" t="n">
        <f aca="false">H43-I43</f>
        <v>-78.4</v>
      </c>
      <c r="K43" s="41" t="n">
        <f aca="false">IFERROR(J43/ABS(I43),"n/a")</f>
        <v>-1.97979797979798</v>
      </c>
      <c r="M43" s="41" t="n">
        <f aca="false">IFERROR(H43/H$13,0)</f>
        <v>-0.00312577813332768</v>
      </c>
      <c r="N43" s="41" t="n">
        <f aca="false">IFERROR(I43/I$13,0)</f>
        <v>-0.00102428274342235</v>
      </c>
    </row>
    <row r="44" customFormat="false" ht="15" hidden="false" customHeight="false" outlineLevel="0" collapsed="false">
      <c r="B44" s="39" t="s">
        <v>342</v>
      </c>
      <c r="C44" s="40" t="n">
        <f aca="false">SUM(C41:C43)+C38</f>
        <v>12.3000000000002</v>
      </c>
      <c r="D44" s="40" t="n">
        <f aca="false">SUM(D41:D43)+D38</f>
        <v>138.9</v>
      </c>
      <c r="E44" s="40" t="n">
        <f aca="false">C44-D44</f>
        <v>-126.6</v>
      </c>
      <c r="F44" s="44" t="n">
        <f aca="false">IFERROR(E44/ABS(D44),"n/a")</f>
        <v>-0.91144708423326</v>
      </c>
      <c r="G44" s="45"/>
      <c r="H44" s="40" t="n">
        <f aca="false">SUM(H41:H43)+H38</f>
        <v>2851.8</v>
      </c>
      <c r="I44" s="40" t="n">
        <f aca="false">SUM(I41:I43)+I38</f>
        <v>3440.99999999999</v>
      </c>
      <c r="J44" s="40" t="n">
        <f aca="false">H44-I44</f>
        <v>-589.199999999994</v>
      </c>
      <c r="K44" s="44" t="n">
        <f aca="false">IFERROR(J44/ABS(I44),"n/a")</f>
        <v>-0.171229293809938</v>
      </c>
      <c r="L44" s="45"/>
      <c r="M44" s="46" t="n">
        <f aca="false">IFERROR(H44/H$13,0)</f>
        <v>0.0755431701747786</v>
      </c>
      <c r="N44" s="46" t="n">
        <f aca="false">IFERROR(I44/I$13,0)</f>
        <v>0.0890039626291991</v>
      </c>
    </row>
    <row r="46" customFormat="false" ht="15" hidden="false" customHeight="false" outlineLevel="0" collapsed="false">
      <c r="B46" s="11" t="s">
        <v>343</v>
      </c>
    </row>
    <row r="47" customFormat="false" ht="15" hidden="false" customHeight="false" outlineLevel="0" collapsed="false">
      <c r="B47" s="36" t="s">
        <v>315</v>
      </c>
      <c r="C47" s="37" t="n">
        <f aca="false">-SUMIFS('TB Actual'!Q$7:Q$60,'TB Actual'!$D$7:$D$60,$B47)</f>
        <v>-1.3</v>
      </c>
      <c r="D47" s="37" t="n">
        <f aca="false">-SUMIFS('TB Budget'!Q$7:Q$60,'TB Budget'!$D$7:$D$60,$B47)</f>
        <v>-14</v>
      </c>
      <c r="E47" s="43" t="n">
        <f aca="false">C47-D47</f>
        <v>12.7</v>
      </c>
      <c r="F47" s="41" t="n">
        <f aca="false">IFERROR(E47/ABS(D47),"n/a")</f>
        <v>0.907142857142857</v>
      </c>
      <c r="H47" s="37" t="n">
        <f aca="false">-(SUMIFS('TB Actual'!F$7:F$60,'TB Actual'!$D$7:$D$60,$B47)+SUMIFS('TB Actual'!G$7:G$60,'TB Actual'!$D$7:$D$60,$B47)+SUMIFS('TB Actual'!H$7:H$60,'TB Actual'!$D$7:$D$60,$B47)+SUMIFS('TB Actual'!I$7:I$60,'TB Actual'!$D$7:$D$60,$B47)+SUMIFS('TB Actual'!J$7:J$60,'TB Actual'!$D$7:$D$60,$B47)+SUMIFS('TB Actual'!K$7:K$60,'TB Actual'!$D$7:$D$60,$B47)+SUMIFS('TB Actual'!L$7:L$60,'TB Actual'!$D$7:$D$60,$B47)+SUMIFS('TB Actual'!M$7:M$60,'TB Actual'!$D$7:$D$60,$B47)+SUMIFS('TB Actual'!N$7:N$60,'TB Actual'!$D$7:$D$60,$B47)+SUMIFS('TB Actual'!O$7:O$60,'TB Actual'!$D$7:$D$60,$B47)+SUMIFS('TB Actual'!P$7:P$60,'TB Actual'!$D$7:$D$60,$B47)+SUMIFS('TB Actual'!Q$7:Q$60,'TB Actual'!$D$7:$D$60,$B47))</f>
        <v>-288.2</v>
      </c>
      <c r="I47" s="37" t="n">
        <f aca="false">-(SUMIFS('TB Budget'!F$7:F$60,'TB Budget'!$D$7:$D$60,$B47)+SUMIFS('TB Budget'!G$7:G$60,'TB Budget'!$D$7:$D$60,$B47)+SUMIFS('TB Budget'!H$7:H$60,'TB Budget'!$D$7:$D$60,$B47)+SUMIFS('TB Budget'!I$7:I$60,'TB Budget'!$D$7:$D$60,$B47)+SUMIFS('TB Budget'!J$7:J$60,'TB Budget'!$D$7:$D$60,$B47)+SUMIFS('TB Budget'!K$7:K$60,'TB Budget'!$D$7:$D$60,$B47)+SUMIFS('TB Budget'!L$7:L$60,'TB Budget'!$D$7:$D$60,$B47)+SUMIFS('TB Budget'!M$7:M$60,'TB Budget'!$D$7:$D$60,$B47)+SUMIFS('TB Budget'!N$7:N$60,'TB Budget'!$D$7:$D$60,$B47)+SUMIFS('TB Budget'!O$7:O$60,'TB Budget'!$D$7:$D$60,$B47)+SUMIFS('TB Budget'!P$7:P$60,'TB Budget'!$D$7:$D$60,$B47)+SUMIFS('TB Budget'!Q$7:Q$60,'TB Budget'!$D$7:$D$60,$B47))</f>
        <v>-347.3</v>
      </c>
      <c r="J47" s="43" t="n">
        <f aca="false">H47-I47</f>
        <v>59.0999999999999</v>
      </c>
      <c r="K47" s="41" t="n">
        <f aca="false">IFERROR(J47/ABS(I47),"n/a")</f>
        <v>0.170169881946444</v>
      </c>
      <c r="M47" s="41" t="n">
        <f aca="false">IFERROR(H47/H$13,0)</f>
        <v>-0.0076343157459749</v>
      </c>
      <c r="N47" s="41" t="n">
        <f aca="false">IFERROR(I47/I$13,0)</f>
        <v>-0.00898316658562073</v>
      </c>
    </row>
    <row r="48" customFormat="false" ht="15" hidden="false" customHeight="false" outlineLevel="0" collapsed="false">
      <c r="B48" s="36" t="s">
        <v>319</v>
      </c>
      <c r="C48" s="37" t="n">
        <f aca="false">-SUMIFS('TB Actual'!Q$7:Q$60,'TB Actual'!$D$7:$D$60,$B48)</f>
        <v>2.1</v>
      </c>
      <c r="D48" s="37" t="n">
        <f aca="false">-SUMIFS('TB Budget'!Q$7:Q$60,'TB Budget'!$D$7:$D$60,$B48)</f>
        <v>2.1</v>
      </c>
      <c r="E48" s="43" t="n">
        <f aca="false">C48-D48</f>
        <v>0</v>
      </c>
      <c r="F48" s="41" t="n">
        <f aca="false">IFERROR(E48/ABS(D48),"n/a")</f>
        <v>0</v>
      </c>
      <c r="H48" s="37" t="n">
        <f aca="false">-(SUMIFS('TB Actual'!F$7:F$60,'TB Actual'!$D$7:$D$60,$B48)+SUMIFS('TB Actual'!G$7:G$60,'TB Actual'!$D$7:$D$60,$B48)+SUMIFS('TB Actual'!H$7:H$60,'TB Actual'!$D$7:$D$60,$B48)+SUMIFS('TB Actual'!I$7:I$60,'TB Actual'!$D$7:$D$60,$B48)+SUMIFS('TB Actual'!J$7:J$60,'TB Actual'!$D$7:$D$60,$B48)+SUMIFS('TB Actual'!K$7:K$60,'TB Actual'!$D$7:$D$60,$B48)+SUMIFS('TB Actual'!L$7:L$60,'TB Actual'!$D$7:$D$60,$B48)+SUMIFS('TB Actual'!M$7:M$60,'TB Actual'!$D$7:$D$60,$B48)+SUMIFS('TB Actual'!N$7:N$60,'TB Actual'!$D$7:$D$60,$B48)+SUMIFS('TB Actual'!O$7:O$60,'TB Actual'!$D$7:$D$60,$B48)+SUMIFS('TB Actual'!P$7:P$60,'TB Actual'!$D$7:$D$60,$B48)+SUMIFS('TB Actual'!Q$7:Q$60,'TB Actual'!$D$7:$D$60,$B48))</f>
        <v>25.2</v>
      </c>
      <c r="I48" s="37" t="n">
        <f aca="false">-(SUMIFS('TB Budget'!F$7:F$60,'TB Budget'!$D$7:$D$60,$B48)+SUMIFS('TB Budget'!G$7:G$60,'TB Budget'!$D$7:$D$60,$B48)+SUMIFS('TB Budget'!H$7:H$60,'TB Budget'!$D$7:$D$60,$B48)+SUMIFS('TB Budget'!I$7:I$60,'TB Budget'!$D$7:$D$60,$B48)+SUMIFS('TB Budget'!J$7:J$60,'TB Budget'!$D$7:$D$60,$B48)+SUMIFS('TB Budget'!K$7:K$60,'TB Budget'!$D$7:$D$60,$B48)+SUMIFS('TB Budget'!L$7:L$60,'TB Budget'!$D$7:$D$60,$B48)+SUMIFS('TB Budget'!M$7:M$60,'TB Budget'!$D$7:$D$60,$B48)+SUMIFS('TB Budget'!N$7:N$60,'TB Budget'!$D$7:$D$60,$B48)+SUMIFS('TB Budget'!O$7:O$60,'TB Budget'!$D$7:$D$60,$B48)+SUMIFS('TB Budget'!P$7:P$60,'TB Budget'!$D$7:$D$60,$B48)+SUMIFS('TB Budget'!Q$7:Q$60,'TB Budget'!$D$7:$D$60,$B48))</f>
        <v>25.2</v>
      </c>
      <c r="J48" s="43" t="n">
        <f aca="false">H48-I48</f>
        <v>0</v>
      </c>
      <c r="K48" s="41" t="n">
        <f aca="false">IFERROR(J48/ABS(I48),"n/a")</f>
        <v>0</v>
      </c>
      <c r="M48" s="41" t="n">
        <f aca="false">IFERROR(H48/H$13,0)</f>
        <v>0.000667539058981844</v>
      </c>
      <c r="N48" s="41" t="n">
        <f aca="false">IFERROR(I48/I$13,0)</f>
        <v>0.000651816291268766</v>
      </c>
    </row>
    <row r="49" customFormat="false" ht="15" hidden="false" customHeight="false" outlineLevel="0" collapsed="false">
      <c r="B49" s="39" t="s">
        <v>344</v>
      </c>
      <c r="C49" s="40" t="n">
        <f aca="false">SUM(C47:C48)+C44</f>
        <v>13.1000000000002</v>
      </c>
      <c r="D49" s="40" t="n">
        <f aca="false">SUM(D47:D48)+D44</f>
        <v>127</v>
      </c>
      <c r="E49" s="40" t="n">
        <f aca="false">C49-D49</f>
        <v>-113.9</v>
      </c>
      <c r="F49" s="44" t="n">
        <f aca="false">IFERROR(E49/ABS(D49),"n/a")</f>
        <v>-0.896850393700786</v>
      </c>
      <c r="G49" s="45"/>
      <c r="H49" s="40" t="n">
        <f aca="false">SUM(H47:H48)+H44</f>
        <v>2588.8</v>
      </c>
      <c r="I49" s="40" t="n">
        <f aca="false">SUM(I47:I48)+I44</f>
        <v>3118.89999999999</v>
      </c>
      <c r="J49" s="40" t="n">
        <f aca="false">H49-I49</f>
        <v>-530.099999999994</v>
      </c>
      <c r="K49" s="44" t="n">
        <f aca="false">IFERROR(J49/ABS(I49),"n/a")</f>
        <v>-0.169963769277628</v>
      </c>
      <c r="L49" s="45"/>
      <c r="M49" s="46" t="n">
        <f aca="false">IFERROR(H49/H$13,0)</f>
        <v>0.0685763934877856</v>
      </c>
      <c r="N49" s="46" t="n">
        <f aca="false">IFERROR(I49/I$13,0)</f>
        <v>0.0806726123348471</v>
      </c>
    </row>
    <row r="51" customFormat="false" ht="15" hidden="false" customHeight="false" outlineLevel="0" collapsed="false">
      <c r="B51" s="13" t="s">
        <v>358</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552"/>
    <pageSetUpPr fitToPage="true"/>
  </sheetPr>
  <dimension ref="A1:O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8"/>
    <col collapsed="false" customWidth="true" hidden="false" outlineLevel="0" max="15" min="3" style="0" width="10.51"/>
  </cols>
  <sheetData>
    <row r="1" customFormat="false" ht="15" hidden="false" customHeight="false" outlineLevel="0" collapsed="false">
      <c r="A1" s="11" t="s">
        <v>0</v>
      </c>
    </row>
    <row r="2" customFormat="false" ht="19.7" hidden="false" customHeight="false" outlineLevel="0" collapsed="false">
      <c r="A2" s="12" t="s">
        <v>359</v>
      </c>
    </row>
    <row r="3" customFormat="false" ht="15" hidden="false" customHeight="false" outlineLevel="0" collapsed="false">
      <c r="A3" s="13" t="s">
        <v>360</v>
      </c>
    </row>
    <row r="6" customFormat="false" ht="15" hidden="false" customHeight="false" outlineLevel="0" collapsed="false">
      <c r="B6" s="15"/>
      <c r="C6" s="15" t="s">
        <v>361</v>
      </c>
      <c r="D6" s="15" t="s">
        <v>154</v>
      </c>
      <c r="E6" s="15" t="s">
        <v>155</v>
      </c>
      <c r="F6" s="15" t="s">
        <v>156</v>
      </c>
      <c r="G6" s="15" t="s">
        <v>157</v>
      </c>
      <c r="H6" s="15" t="s">
        <v>158</v>
      </c>
      <c r="I6" s="15" t="s">
        <v>159</v>
      </c>
      <c r="J6" s="15" t="s">
        <v>160</v>
      </c>
      <c r="K6" s="15" t="s">
        <v>161</v>
      </c>
      <c r="L6" s="15" t="s">
        <v>162</v>
      </c>
      <c r="M6" s="15" t="s">
        <v>163</v>
      </c>
      <c r="N6" s="15" t="s">
        <v>164</v>
      </c>
      <c r="O6" s="15" t="s">
        <v>165</v>
      </c>
    </row>
    <row r="8" customFormat="false" ht="15" hidden="false" customHeight="false" outlineLevel="0" collapsed="false">
      <c r="B8" s="11" t="s">
        <v>362</v>
      </c>
    </row>
    <row r="9" customFormat="false" ht="15" hidden="false" customHeight="false" outlineLevel="0" collapsed="false">
      <c r="B9" s="36" t="s">
        <v>177</v>
      </c>
      <c r="C9" s="37" t="n">
        <f aca="false">SUMIFS('TB Actual'!E$7:E$60,'TB Actual'!$D$7:$D$60,$B9)</f>
        <v>1500</v>
      </c>
      <c r="D9" s="37" t="n">
        <f aca="false">C9+SUMIFS('TB Actual'!F$7:F$60,'TB Actual'!$D$7:$D$60,$B9)</f>
        <v>1474.2</v>
      </c>
      <c r="E9" s="37" t="n">
        <f aca="false">D9+SUMIFS('TB Actual'!G$7:G$60,'TB Actual'!$D$7:$D$60,$B9)</f>
        <v>1448.4</v>
      </c>
      <c r="F9" s="37" t="n">
        <f aca="false">E9+SUMIFS('TB Actual'!H$7:H$60,'TB Actual'!$D$7:$D$60,$B9)</f>
        <v>1422.6</v>
      </c>
      <c r="G9" s="37" t="n">
        <f aca="false">F9+SUMIFS('TB Actual'!I$7:I$60,'TB Actual'!$D$7:$D$60,$B9)</f>
        <v>1456.8</v>
      </c>
      <c r="H9" s="37" t="n">
        <f aca="false">G9+SUMIFS('TB Actual'!J$7:J$60,'TB Actual'!$D$7:$D$60,$B9)</f>
        <v>1431</v>
      </c>
      <c r="I9" s="37" t="n">
        <f aca="false">H9+SUMIFS('TB Actual'!K$7:K$60,'TB Actual'!$D$7:$D$60,$B9)</f>
        <v>1405.2</v>
      </c>
      <c r="J9" s="37" t="n">
        <f aca="false">I9+SUMIFS('TB Actual'!L$7:L$60,'TB Actual'!$D$7:$D$60,$B9)</f>
        <v>1379.4</v>
      </c>
      <c r="K9" s="37" t="n">
        <f aca="false">J9+SUMIFS('TB Actual'!M$7:M$60,'TB Actual'!$D$7:$D$60,$B9)</f>
        <v>1353.6</v>
      </c>
      <c r="L9" s="37" t="n">
        <f aca="false">K9+SUMIFS('TB Actual'!N$7:N$60,'TB Actual'!$D$7:$D$60,$B9)</f>
        <v>1327.8</v>
      </c>
      <c r="M9" s="37" t="n">
        <f aca="false">L9+SUMIFS('TB Actual'!O$7:O$60,'TB Actual'!$D$7:$D$60,$B9)</f>
        <v>1302</v>
      </c>
      <c r="N9" s="37" t="n">
        <f aca="false">M9+SUMIFS('TB Actual'!P$7:P$60,'TB Actual'!$D$7:$D$60,$B9)</f>
        <v>1276.2</v>
      </c>
      <c r="O9" s="37" t="n">
        <f aca="false">N9+SUMIFS('TB Actual'!Q$7:Q$60,'TB Actual'!$D$7:$D$60,$B9)</f>
        <v>1250.4</v>
      </c>
    </row>
    <row r="10" customFormat="false" ht="15" hidden="false" customHeight="false" outlineLevel="0" collapsed="false">
      <c r="B10" s="36" t="s">
        <v>184</v>
      </c>
      <c r="C10" s="37" t="n">
        <f aca="false">SUMIFS('TB Actual'!E$7:E$60,'TB Actual'!$D$7:$D$60,$B10)</f>
        <v>1090</v>
      </c>
      <c r="D10" s="37" t="n">
        <f aca="false">C10+SUMIFS('TB Actual'!F$7:F$60,'TB Actual'!$D$7:$D$60,$B10)</f>
        <v>1087.5</v>
      </c>
      <c r="E10" s="37" t="n">
        <f aca="false">D10+SUMIFS('TB Actual'!G$7:G$60,'TB Actual'!$D$7:$D$60,$B10)</f>
        <v>1085</v>
      </c>
      <c r="F10" s="37" t="n">
        <f aca="false">E10+SUMIFS('TB Actual'!H$7:H$60,'TB Actual'!$D$7:$D$60,$B10)</f>
        <v>1082.5</v>
      </c>
      <c r="G10" s="37" t="n">
        <f aca="false">F10+SUMIFS('TB Actual'!I$7:I$60,'TB Actual'!$D$7:$D$60,$B10)</f>
        <v>1080</v>
      </c>
      <c r="H10" s="37" t="n">
        <f aca="false">G10+SUMIFS('TB Actual'!J$7:J$60,'TB Actual'!$D$7:$D$60,$B10)</f>
        <v>1077.5</v>
      </c>
      <c r="I10" s="37" t="n">
        <f aca="false">H10+SUMIFS('TB Actual'!K$7:K$60,'TB Actual'!$D$7:$D$60,$B10)</f>
        <v>1075</v>
      </c>
      <c r="J10" s="37" t="n">
        <f aca="false">I10+SUMIFS('TB Actual'!L$7:L$60,'TB Actual'!$D$7:$D$60,$B10)</f>
        <v>1072.5</v>
      </c>
      <c r="K10" s="37" t="n">
        <f aca="false">J10+SUMIFS('TB Actual'!M$7:M$60,'TB Actual'!$D$7:$D$60,$B10)</f>
        <v>1250</v>
      </c>
      <c r="L10" s="37" t="n">
        <f aca="false">K10+SUMIFS('TB Actual'!N$7:N$60,'TB Actual'!$D$7:$D$60,$B10)</f>
        <v>1247.5</v>
      </c>
      <c r="M10" s="37" t="n">
        <f aca="false">L10+SUMIFS('TB Actual'!O$7:O$60,'TB Actual'!$D$7:$D$60,$B10)</f>
        <v>1245</v>
      </c>
      <c r="N10" s="37" t="n">
        <f aca="false">M10+SUMIFS('TB Actual'!P$7:P$60,'TB Actual'!$D$7:$D$60,$B10)</f>
        <v>1242.5</v>
      </c>
      <c r="O10" s="37" t="n">
        <f aca="false">N10+SUMIFS('TB Actual'!Q$7:Q$60,'TB Actual'!$D$7:$D$60,$B10)</f>
        <v>1240</v>
      </c>
    </row>
    <row r="11" customFormat="false" ht="15" hidden="false" customHeight="false" outlineLevel="0" collapsed="false">
      <c r="B11" s="36" t="s">
        <v>189</v>
      </c>
      <c r="C11" s="37" t="n">
        <f aca="false">SUMIFS('TB Actual'!E$7:E$60,'TB Actual'!$D$7:$D$60,$B11)</f>
        <v>2020</v>
      </c>
      <c r="D11" s="37" t="n">
        <f aca="false">C11+SUMIFS('TB Actual'!F$7:F$60,'TB Actual'!$D$7:$D$60,$B11)</f>
        <v>1976.5</v>
      </c>
      <c r="E11" s="37" t="n">
        <f aca="false">D11+SUMIFS('TB Actual'!G$7:G$60,'TB Actual'!$D$7:$D$60,$B11)</f>
        <v>1933</v>
      </c>
      <c r="F11" s="37" t="n">
        <f aca="false">E11+SUMIFS('TB Actual'!H$7:H$60,'TB Actual'!$D$7:$D$60,$B11)</f>
        <v>1889.5</v>
      </c>
      <c r="G11" s="37" t="n">
        <f aca="false">F11+SUMIFS('TB Actual'!I$7:I$60,'TB Actual'!$D$7:$D$60,$B11)</f>
        <v>1846</v>
      </c>
      <c r="H11" s="37" t="n">
        <f aca="false">G11+SUMIFS('TB Actual'!J$7:J$60,'TB Actual'!$D$7:$D$60,$B11)</f>
        <v>1802.5</v>
      </c>
      <c r="I11" s="37" t="n">
        <f aca="false">H11+SUMIFS('TB Actual'!K$7:K$60,'TB Actual'!$D$7:$D$60,$B11)</f>
        <v>1759</v>
      </c>
      <c r="J11" s="37" t="n">
        <f aca="false">I11+SUMIFS('TB Actual'!L$7:L$60,'TB Actual'!$D$7:$D$60,$B11)</f>
        <v>1715.5</v>
      </c>
      <c r="K11" s="37" t="n">
        <f aca="false">J11+SUMIFS('TB Actual'!M$7:M$60,'TB Actual'!$D$7:$D$60,$B11)</f>
        <v>1672</v>
      </c>
      <c r="L11" s="37" t="n">
        <f aca="false">K11+SUMIFS('TB Actual'!N$7:N$60,'TB Actual'!$D$7:$D$60,$B11)</f>
        <v>1628.5</v>
      </c>
      <c r="M11" s="37" t="n">
        <f aca="false">L11+SUMIFS('TB Actual'!O$7:O$60,'TB Actual'!$D$7:$D$60,$B11)</f>
        <v>1935</v>
      </c>
      <c r="N11" s="37" t="n">
        <f aca="false">M11+SUMIFS('TB Actual'!P$7:P$60,'TB Actual'!$D$7:$D$60,$B11)</f>
        <v>1891.5</v>
      </c>
      <c r="O11" s="37" t="n">
        <f aca="false">N11+SUMIFS('TB Actual'!Q$7:Q$60,'TB Actual'!$D$7:$D$60,$B11)</f>
        <v>1848</v>
      </c>
    </row>
    <row r="12" customFormat="false" ht="15" hidden="false" customHeight="false" outlineLevel="0" collapsed="false">
      <c r="B12" s="36" t="s">
        <v>193</v>
      </c>
      <c r="C12" s="37" t="n">
        <f aca="false">SUMIFS('TB Actual'!E$7:E$60,'TB Actual'!$D$7:$D$60,$B12)</f>
        <v>180</v>
      </c>
      <c r="D12" s="37" t="n">
        <f aca="false">C12+SUMIFS('TB Actual'!F$7:F$60,'TB Actual'!$D$7:$D$60,$B12)</f>
        <v>182.1</v>
      </c>
      <c r="E12" s="37" t="n">
        <f aca="false">D12+SUMIFS('TB Actual'!G$7:G$60,'TB Actual'!$D$7:$D$60,$B12)</f>
        <v>184.2</v>
      </c>
      <c r="F12" s="37" t="n">
        <f aca="false">E12+SUMIFS('TB Actual'!H$7:H$60,'TB Actual'!$D$7:$D$60,$B12)</f>
        <v>186.3</v>
      </c>
      <c r="G12" s="37" t="n">
        <f aca="false">F12+SUMIFS('TB Actual'!I$7:I$60,'TB Actual'!$D$7:$D$60,$B12)</f>
        <v>188.4</v>
      </c>
      <c r="H12" s="37" t="n">
        <f aca="false">G12+SUMIFS('TB Actual'!J$7:J$60,'TB Actual'!$D$7:$D$60,$B12)</f>
        <v>190.5</v>
      </c>
      <c r="I12" s="37" t="n">
        <f aca="false">H12+SUMIFS('TB Actual'!K$7:K$60,'TB Actual'!$D$7:$D$60,$B12)</f>
        <v>192.6</v>
      </c>
      <c r="J12" s="37" t="n">
        <f aca="false">I12+SUMIFS('TB Actual'!L$7:L$60,'TB Actual'!$D$7:$D$60,$B12)</f>
        <v>194.7</v>
      </c>
      <c r="K12" s="37" t="n">
        <f aca="false">J12+SUMIFS('TB Actual'!M$7:M$60,'TB Actual'!$D$7:$D$60,$B12)</f>
        <v>196.8</v>
      </c>
      <c r="L12" s="37" t="n">
        <f aca="false">K12+SUMIFS('TB Actual'!N$7:N$60,'TB Actual'!$D$7:$D$60,$B12)</f>
        <v>198.9</v>
      </c>
      <c r="M12" s="37" t="n">
        <f aca="false">L12+SUMIFS('TB Actual'!O$7:O$60,'TB Actual'!$D$7:$D$60,$B12)</f>
        <v>201</v>
      </c>
      <c r="N12" s="37" t="n">
        <f aca="false">M12+SUMIFS('TB Actual'!P$7:P$60,'TB Actual'!$D$7:$D$60,$B12)</f>
        <v>203.1</v>
      </c>
      <c r="O12" s="37" t="n">
        <f aca="false">N12+SUMIFS('TB Actual'!Q$7:Q$60,'TB Actual'!$D$7:$D$60,$B12)</f>
        <v>205.2</v>
      </c>
    </row>
    <row r="13" customFormat="false" ht="15" hidden="false" customHeight="false" outlineLevel="0" collapsed="false">
      <c r="B13" s="39" t="s">
        <v>363</v>
      </c>
      <c r="C13" s="40" t="n">
        <f aca="false">SUM(C9:C12)</f>
        <v>4790</v>
      </c>
      <c r="D13" s="40" t="n">
        <f aca="false">SUM(D9:D12)</f>
        <v>4720.3</v>
      </c>
      <c r="E13" s="40" t="n">
        <f aca="false">SUM(E9:E12)</f>
        <v>4650.6</v>
      </c>
      <c r="F13" s="40" t="n">
        <f aca="false">SUM(F9:F12)</f>
        <v>4580.9</v>
      </c>
      <c r="G13" s="40" t="n">
        <f aca="false">SUM(G9:G12)</f>
        <v>4571.2</v>
      </c>
      <c r="H13" s="40" t="n">
        <f aca="false">SUM(H9:H12)</f>
        <v>4501.5</v>
      </c>
      <c r="I13" s="40" t="n">
        <f aca="false">SUM(I9:I12)</f>
        <v>4431.8</v>
      </c>
      <c r="J13" s="40" t="n">
        <f aca="false">SUM(J9:J12)</f>
        <v>4362.1</v>
      </c>
      <c r="K13" s="40" t="n">
        <f aca="false">SUM(K9:K12)</f>
        <v>4472.4</v>
      </c>
      <c r="L13" s="40" t="n">
        <f aca="false">SUM(L9:L12)</f>
        <v>4402.7</v>
      </c>
      <c r="M13" s="40" t="n">
        <f aca="false">SUM(M9:M12)</f>
        <v>4683</v>
      </c>
      <c r="N13" s="40" t="n">
        <f aca="false">SUM(N9:N12)</f>
        <v>4613.3</v>
      </c>
      <c r="O13" s="40" t="n">
        <f aca="false">SUM(O9:O12)</f>
        <v>4543.6</v>
      </c>
    </row>
    <row r="15" customFormat="false" ht="15" hidden="false" customHeight="false" outlineLevel="0" collapsed="false">
      <c r="B15" s="11" t="s">
        <v>364</v>
      </c>
    </row>
    <row r="16" customFormat="false" ht="15" hidden="false" customHeight="false" outlineLevel="0" collapsed="false">
      <c r="B16" s="36" t="s">
        <v>196</v>
      </c>
      <c r="C16" s="37" t="n">
        <f aca="false">SUMIFS('TB Actual'!E$7:E$60,'TB Actual'!$D$7:$D$60,$B16)</f>
        <v>5640</v>
      </c>
      <c r="D16" s="37" t="n">
        <f aca="false">C16+SUMIFS('TB Actual'!F$7:F$60,'TB Actual'!$D$7:$D$60,$B16)</f>
        <v>5103.7</v>
      </c>
      <c r="E16" s="37" t="n">
        <f aca="false">D16+SUMIFS('TB Actual'!G$7:G$60,'TB Actual'!$D$7:$D$60,$B16)</f>
        <v>4983.2</v>
      </c>
      <c r="F16" s="37" t="n">
        <f aca="false">E16+SUMIFS('TB Actual'!H$7:H$60,'TB Actual'!$D$7:$D$60,$B16)</f>
        <v>4923.8</v>
      </c>
      <c r="G16" s="37" t="n">
        <f aca="false">F16+SUMIFS('TB Actual'!I$7:I$60,'TB Actual'!$D$7:$D$60,$B16)</f>
        <v>4478.3</v>
      </c>
      <c r="H16" s="37" t="n">
        <f aca="false">G16+SUMIFS('TB Actual'!J$7:J$60,'TB Actual'!$D$7:$D$60,$B16)</f>
        <v>4024.9</v>
      </c>
      <c r="I16" s="37" t="n">
        <f aca="false">H16+SUMIFS('TB Actual'!K$7:K$60,'TB Actual'!$D$7:$D$60,$B16)</f>
        <v>3540.7</v>
      </c>
      <c r="J16" s="37" t="n">
        <f aca="false">I16+SUMIFS('TB Actual'!L$7:L$60,'TB Actual'!$D$7:$D$60,$B16)</f>
        <v>3199.3</v>
      </c>
      <c r="K16" s="37" t="n">
        <f aca="false">J16+SUMIFS('TB Actual'!M$7:M$60,'TB Actual'!$D$7:$D$60,$B16)</f>
        <v>3084.4</v>
      </c>
      <c r="L16" s="37" t="n">
        <f aca="false">K16+SUMIFS('TB Actual'!N$7:N$60,'TB Actual'!$D$7:$D$60,$B16)</f>
        <v>3401.3</v>
      </c>
      <c r="M16" s="37" t="n">
        <f aca="false">L16+SUMIFS('TB Actual'!O$7:O$60,'TB Actual'!$D$7:$D$60,$B16)</f>
        <v>4057</v>
      </c>
      <c r="N16" s="37" t="n">
        <f aca="false">M16+SUMIFS('TB Actual'!P$7:P$60,'TB Actual'!$D$7:$D$60,$B16)</f>
        <v>4611.6</v>
      </c>
      <c r="O16" s="37" t="n">
        <f aca="false">N16+SUMIFS('TB Actual'!Q$7:Q$60,'TB Actual'!$D$7:$D$60,$B16)</f>
        <v>4690.5</v>
      </c>
    </row>
    <row r="17" customFormat="false" ht="15" hidden="false" customHeight="false" outlineLevel="0" collapsed="false">
      <c r="B17" s="36" t="s">
        <v>202</v>
      </c>
      <c r="C17" s="37" t="n">
        <f aca="false">SUMIFS('TB Actual'!E$7:E$60,'TB Actual'!$D$7:$D$60,$B17)</f>
        <v>6630</v>
      </c>
      <c r="D17" s="37" t="n">
        <f aca="false">C17+SUMIFS('TB Actual'!F$7:F$60,'TB Actual'!$D$7:$D$60,$B17)</f>
        <v>7133.2</v>
      </c>
      <c r="E17" s="37" t="n">
        <f aca="false">D17+SUMIFS('TB Actual'!G$7:G$60,'TB Actual'!$D$7:$D$60,$B17)</f>
        <v>6965.6</v>
      </c>
      <c r="F17" s="37" t="n">
        <f aca="false">E17+SUMIFS('TB Actual'!H$7:H$60,'TB Actual'!$D$7:$D$60,$B17)</f>
        <v>6881.2</v>
      </c>
      <c r="G17" s="37" t="n">
        <f aca="false">F17+SUMIFS('TB Actual'!I$7:I$60,'TB Actual'!$D$7:$D$60,$B17)</f>
        <v>6270.7</v>
      </c>
      <c r="H17" s="37" t="n">
        <f aca="false">G17+SUMIFS('TB Actual'!J$7:J$60,'TB Actual'!$D$7:$D$60,$B17)</f>
        <v>5649.3</v>
      </c>
      <c r="I17" s="37" t="n">
        <f aca="false">H17+SUMIFS('TB Actual'!K$7:K$60,'TB Actual'!$D$7:$D$60,$B17)</f>
        <v>5026.8</v>
      </c>
      <c r="J17" s="37" t="n">
        <f aca="false">I17+SUMIFS('TB Actual'!L$7:L$60,'TB Actual'!$D$7:$D$60,$B17)</f>
        <v>4557.8</v>
      </c>
      <c r="K17" s="37" t="n">
        <f aca="false">J17+SUMIFS('TB Actual'!M$7:M$60,'TB Actual'!$D$7:$D$60,$B17)</f>
        <v>4397.5</v>
      </c>
      <c r="L17" s="37" t="n">
        <f aca="false">K17+SUMIFS('TB Actual'!N$7:N$60,'TB Actual'!$D$7:$D$60,$B17)</f>
        <v>4825.8</v>
      </c>
      <c r="M17" s="37" t="n">
        <f aca="false">L17+SUMIFS('TB Actual'!O$7:O$60,'TB Actual'!$D$7:$D$60,$B17)</f>
        <v>5716.1</v>
      </c>
      <c r="N17" s="37" t="n">
        <f aca="false">M17+SUMIFS('TB Actual'!P$7:P$60,'TB Actual'!$D$7:$D$60,$B17)</f>
        <v>6530.1</v>
      </c>
      <c r="O17" s="37" t="n">
        <f aca="false">N17+SUMIFS('TB Actual'!Q$7:Q$60,'TB Actual'!$D$7:$D$60,$B17)</f>
        <v>6634.3</v>
      </c>
    </row>
    <row r="18" customFormat="false" ht="15" hidden="false" customHeight="false" outlineLevel="0" collapsed="false">
      <c r="B18" s="36" t="s">
        <v>206</v>
      </c>
      <c r="C18" s="37" t="n">
        <f aca="false">SUMIFS('TB Actual'!E$7:E$60,'TB Actual'!$D$7:$D$60,$B18)</f>
        <v>640</v>
      </c>
      <c r="D18" s="37" t="n">
        <f aca="false">C18+SUMIFS('TB Actual'!F$7:F$60,'TB Actual'!$D$7:$D$60,$B18)</f>
        <v>658</v>
      </c>
      <c r="E18" s="37" t="n">
        <f aca="false">D18+SUMIFS('TB Actual'!G$7:G$60,'TB Actual'!$D$7:$D$60,$B18)</f>
        <v>676</v>
      </c>
      <c r="F18" s="37" t="n">
        <f aca="false">E18+SUMIFS('TB Actual'!H$7:H$60,'TB Actual'!$D$7:$D$60,$B18)</f>
        <v>694</v>
      </c>
      <c r="G18" s="37" t="n">
        <f aca="false">F18+SUMIFS('TB Actual'!I$7:I$60,'TB Actual'!$D$7:$D$60,$B18)</f>
        <v>712</v>
      </c>
      <c r="H18" s="37" t="n">
        <f aca="false">G18+SUMIFS('TB Actual'!J$7:J$60,'TB Actual'!$D$7:$D$60,$B18)</f>
        <v>730</v>
      </c>
      <c r="I18" s="37" t="n">
        <f aca="false">H18+SUMIFS('TB Actual'!K$7:K$60,'TB Actual'!$D$7:$D$60,$B18)</f>
        <v>748</v>
      </c>
      <c r="J18" s="37" t="n">
        <f aca="false">I18+SUMIFS('TB Actual'!L$7:L$60,'TB Actual'!$D$7:$D$60,$B18)</f>
        <v>766</v>
      </c>
      <c r="K18" s="37" t="n">
        <f aca="false">J18+SUMIFS('TB Actual'!M$7:M$60,'TB Actual'!$D$7:$D$60,$B18)</f>
        <v>784</v>
      </c>
      <c r="L18" s="37" t="n">
        <f aca="false">K18+SUMIFS('TB Actual'!N$7:N$60,'TB Actual'!$D$7:$D$60,$B18)</f>
        <v>682</v>
      </c>
      <c r="M18" s="37" t="n">
        <f aca="false">L18+SUMIFS('TB Actual'!O$7:O$60,'TB Actual'!$D$7:$D$60,$B18)</f>
        <v>700</v>
      </c>
      <c r="N18" s="37" t="n">
        <f aca="false">M18+SUMIFS('TB Actual'!P$7:P$60,'TB Actual'!$D$7:$D$60,$B18)</f>
        <v>718</v>
      </c>
      <c r="O18" s="37" t="n">
        <f aca="false">N18+SUMIFS('TB Actual'!Q$7:Q$60,'TB Actual'!$D$7:$D$60,$B18)</f>
        <v>736</v>
      </c>
    </row>
    <row r="19" customFormat="false" ht="15" hidden="false" customHeight="false" outlineLevel="0" collapsed="false">
      <c r="B19" s="36" t="s">
        <v>209</v>
      </c>
      <c r="C19" s="37" t="n">
        <f aca="false">SUMIFS('TB Actual'!E$7:E$60,'TB Actual'!$D$7:$D$60,$B19)</f>
        <v>2950</v>
      </c>
      <c r="D19" s="37" t="n">
        <f aca="false">C19+SUMIFS('TB Actual'!F$7:F$60,'TB Actual'!$D$7:$D$60,$B19)</f>
        <v>2602.7</v>
      </c>
      <c r="E19" s="37" t="n">
        <f aca="false">D19+SUMIFS('TB Actual'!G$7:G$60,'TB Actual'!$D$7:$D$60,$B19)</f>
        <v>2255.5</v>
      </c>
      <c r="F19" s="37" t="n">
        <f aca="false">E19+SUMIFS('TB Actual'!H$7:H$60,'TB Actual'!$D$7:$D$60,$B19)</f>
        <v>2248.6</v>
      </c>
      <c r="G19" s="37" t="n">
        <f aca="false">F19+SUMIFS('TB Actual'!I$7:I$60,'TB Actual'!$D$7:$D$60,$B19)</f>
        <v>3141.8</v>
      </c>
      <c r="H19" s="37" t="n">
        <f aca="false">G19+SUMIFS('TB Actual'!J$7:J$60,'TB Actual'!$D$7:$D$60,$B19)</f>
        <v>4138.4</v>
      </c>
      <c r="I19" s="37" t="n">
        <f aca="false">H19+SUMIFS('TB Actual'!K$7:K$60,'TB Actual'!$D$7:$D$60,$B19)</f>
        <v>3269.9</v>
      </c>
      <c r="J19" s="37" t="n">
        <f aca="false">I19+SUMIFS('TB Actual'!L$7:L$60,'TB Actual'!$D$7:$D$60,$B19)</f>
        <v>3930.6</v>
      </c>
      <c r="K19" s="37" t="n">
        <f aca="false">J19+SUMIFS('TB Actual'!M$7:M$60,'TB Actual'!$D$7:$D$60,$B19)</f>
        <v>4372.1</v>
      </c>
      <c r="L19" s="37" t="n">
        <f aca="false">K19+SUMIFS('TB Actual'!N$7:N$60,'TB Actual'!$D$7:$D$60,$B19)</f>
        <v>4225.7</v>
      </c>
      <c r="M19" s="37" t="n">
        <f aca="false">L19+SUMIFS('TB Actual'!O$7:O$60,'TB Actual'!$D$7:$D$60,$B19)</f>
        <v>4158.7</v>
      </c>
      <c r="N19" s="37" t="n">
        <f aca="false">M19+SUMIFS('TB Actual'!P$7:P$60,'TB Actual'!$D$7:$D$60,$B19)</f>
        <v>4168.9</v>
      </c>
      <c r="O19" s="37" t="n">
        <f aca="false">N19+SUMIFS('TB Actual'!Q$7:Q$60,'TB Actual'!$D$7:$D$60,$B19)</f>
        <v>3625.6</v>
      </c>
    </row>
    <row r="20" customFormat="false" ht="15" hidden="false" customHeight="false" outlineLevel="0" collapsed="false">
      <c r="B20" s="39" t="s">
        <v>365</v>
      </c>
      <c r="C20" s="40" t="n">
        <f aca="false">SUM(C16:C19)</f>
        <v>15860</v>
      </c>
      <c r="D20" s="40" t="n">
        <f aca="false">SUM(D16:D19)</f>
        <v>15497.6</v>
      </c>
      <c r="E20" s="40" t="n">
        <f aca="false">SUM(E16:E19)</f>
        <v>14880.3</v>
      </c>
      <c r="F20" s="40" t="n">
        <f aca="false">SUM(F16:F19)</f>
        <v>14747.6</v>
      </c>
      <c r="G20" s="40" t="n">
        <f aca="false">SUM(G16:G19)</f>
        <v>14602.8</v>
      </c>
      <c r="H20" s="40" t="n">
        <f aca="false">SUM(H16:H19)</f>
        <v>14542.6</v>
      </c>
      <c r="I20" s="40" t="n">
        <f aca="false">SUM(I16:I19)</f>
        <v>12585.4</v>
      </c>
      <c r="J20" s="40" t="n">
        <f aca="false">SUM(J16:J19)</f>
        <v>12453.7</v>
      </c>
      <c r="K20" s="40" t="n">
        <f aca="false">SUM(K16:K19)</f>
        <v>12638</v>
      </c>
      <c r="L20" s="40" t="n">
        <f aca="false">SUM(L16:L19)</f>
        <v>13134.8</v>
      </c>
      <c r="M20" s="40" t="n">
        <f aca="false">SUM(M16:M19)</f>
        <v>14631.8</v>
      </c>
      <c r="N20" s="40" t="n">
        <f aca="false">SUM(N16:N19)</f>
        <v>16028.6</v>
      </c>
      <c r="O20" s="40" t="n">
        <f aca="false">SUM(O16:O19)</f>
        <v>15686.4</v>
      </c>
    </row>
    <row r="22" customFormat="false" ht="15" hidden="false" customHeight="false" outlineLevel="0" collapsed="false">
      <c r="B22" s="39" t="s">
        <v>366</v>
      </c>
      <c r="C22" s="40" t="n">
        <f aca="false">C13+C20</f>
        <v>20650</v>
      </c>
      <c r="D22" s="40" t="n">
        <f aca="false">D13+D20</f>
        <v>20217.9</v>
      </c>
      <c r="E22" s="40" t="n">
        <f aca="false">E13+E20</f>
        <v>19530.9</v>
      </c>
      <c r="F22" s="40" t="n">
        <f aca="false">F13+F20</f>
        <v>19328.5</v>
      </c>
      <c r="G22" s="40" t="n">
        <f aca="false">G13+G20</f>
        <v>19174</v>
      </c>
      <c r="H22" s="40" t="n">
        <f aca="false">H13+H20</f>
        <v>19044.1</v>
      </c>
      <c r="I22" s="40" t="n">
        <f aca="false">I13+I20</f>
        <v>17017.2</v>
      </c>
      <c r="J22" s="40" t="n">
        <f aca="false">J13+J20</f>
        <v>16815.8</v>
      </c>
      <c r="K22" s="40" t="n">
        <f aca="false">K13+K20</f>
        <v>17110.4</v>
      </c>
      <c r="L22" s="40" t="n">
        <f aca="false">L13+L20</f>
        <v>17537.5</v>
      </c>
      <c r="M22" s="40" t="n">
        <f aca="false">M13+M20</f>
        <v>19314.8</v>
      </c>
      <c r="N22" s="40" t="n">
        <f aca="false">N13+N20</f>
        <v>20641.9</v>
      </c>
      <c r="O22" s="40" t="n">
        <f aca="false">O13+O20</f>
        <v>20230</v>
      </c>
    </row>
    <row r="24" customFormat="false" ht="15" hidden="false" customHeight="false" outlineLevel="0" collapsed="false">
      <c r="B24" s="11" t="s">
        <v>367</v>
      </c>
    </row>
    <row r="25" customFormat="false" ht="15" hidden="false" customHeight="false" outlineLevel="0" collapsed="false">
      <c r="B25" s="36" t="s">
        <v>211</v>
      </c>
      <c r="C25" s="37" t="n">
        <f aca="false">-SUMIFS('TB Actual'!E$7:E$60,'TB Actual'!$D$7:$D$60,$B25)</f>
        <v>5300</v>
      </c>
      <c r="D25" s="37" t="n">
        <f aca="false">C25-SUMIFS('TB Actual'!F$7:F$60,'TB Actual'!$D$7:$D$60,$B25)</f>
        <v>5224.2</v>
      </c>
      <c r="E25" s="37" t="n">
        <f aca="false">D25-SUMIFS('TB Actual'!G$7:G$60,'TB Actual'!$D$7:$D$60,$B25)</f>
        <v>5177.9</v>
      </c>
      <c r="F25" s="37" t="n">
        <f aca="false">E25-SUMIFS('TB Actual'!H$7:H$60,'TB Actual'!$D$7:$D$60,$B25)</f>
        <v>5190.7</v>
      </c>
      <c r="G25" s="37" t="n">
        <f aca="false">F25-SUMIFS('TB Actual'!I$7:I$60,'TB Actual'!$D$7:$D$60,$B25)</f>
        <v>4811.1</v>
      </c>
      <c r="H25" s="37" t="n">
        <f aca="false">G25-SUMIFS('TB Actual'!J$7:J$60,'TB Actual'!$D$7:$D$60,$B25)</f>
        <v>4412</v>
      </c>
      <c r="I25" s="37" t="n">
        <f aca="false">H25-SUMIFS('TB Actual'!K$7:K$60,'TB Actual'!$D$7:$D$60,$B25)</f>
        <v>4000.1</v>
      </c>
      <c r="J25" s="37" t="n">
        <f aca="false">I25-SUMIFS('TB Actual'!L$7:L$60,'TB Actual'!$D$7:$D$60,$B25)</f>
        <v>3695.3</v>
      </c>
      <c r="K25" s="37" t="n">
        <f aca="false">J25-SUMIFS('TB Actual'!M$7:M$60,'TB Actual'!$D$7:$D$60,$B25)</f>
        <v>3624.6</v>
      </c>
      <c r="L25" s="37" t="n">
        <f aca="false">K25-SUMIFS('TB Actual'!N$7:N$60,'TB Actual'!$D$7:$D$60,$B25)</f>
        <v>4021.8</v>
      </c>
      <c r="M25" s="37" t="n">
        <f aca="false">L25-SUMIFS('TB Actual'!O$7:O$60,'TB Actual'!$D$7:$D$60,$B25)</f>
        <v>4804.5</v>
      </c>
      <c r="N25" s="37" t="n">
        <f aca="false">M25-SUMIFS('TB Actual'!P$7:P$60,'TB Actual'!$D$7:$D$60,$B25)</f>
        <v>5546.4</v>
      </c>
      <c r="O25" s="37" t="n">
        <f aca="false">N25-SUMIFS('TB Actual'!Q$7:Q$60,'TB Actual'!$D$7:$D$60,$B25)</f>
        <v>5716.9</v>
      </c>
    </row>
    <row r="26" customFormat="false" ht="15" hidden="false" customHeight="false" outlineLevel="0" collapsed="false">
      <c r="B26" s="36" t="s">
        <v>215</v>
      </c>
      <c r="C26" s="37" t="n">
        <f aca="false">-SUMIFS('TB Actual'!E$7:E$60,'TB Actual'!$D$7:$D$60,$B26)</f>
        <v>1420</v>
      </c>
      <c r="D26" s="37" t="n">
        <f aca="false">C26-SUMIFS('TB Actual'!F$7:F$60,'TB Actual'!$D$7:$D$60,$B26)</f>
        <v>1098</v>
      </c>
      <c r="E26" s="37" t="n">
        <f aca="false">D26-SUMIFS('TB Actual'!G$7:G$60,'TB Actual'!$D$7:$D$60,$B26)</f>
        <v>628</v>
      </c>
      <c r="F26" s="37" t="n">
        <f aca="false">E26-SUMIFS('TB Actual'!H$7:H$60,'TB Actual'!$D$7:$D$60,$B26)</f>
        <v>355.9</v>
      </c>
      <c r="G26" s="37" t="n">
        <f aca="false">F26-SUMIFS('TB Actual'!I$7:I$60,'TB Actual'!$D$7:$D$60,$B26)</f>
        <v>479.1</v>
      </c>
      <c r="H26" s="37" t="n">
        <f aca="false">G26-SUMIFS('TB Actual'!J$7:J$60,'TB Actual'!$D$7:$D$60,$B26)</f>
        <v>592.9</v>
      </c>
      <c r="I26" s="37" t="n">
        <f aca="false">H26-SUMIFS('TB Actual'!K$7:K$60,'TB Actual'!$D$7:$D$60,$B26)</f>
        <v>384.6</v>
      </c>
      <c r="J26" s="37" t="n">
        <f aca="false">I26-SUMIFS('TB Actual'!L$7:L$60,'TB Actual'!$D$7:$D$60,$B26)</f>
        <v>497.1</v>
      </c>
      <c r="K26" s="37" t="n">
        <f aca="false">J26-SUMIFS('TB Actual'!M$7:M$60,'TB Actual'!$D$7:$D$60,$B26)</f>
        <v>622.1</v>
      </c>
      <c r="L26" s="37" t="n">
        <f aca="false">K26-SUMIFS('TB Actual'!N$7:N$60,'TB Actual'!$D$7:$D$60,$B26)</f>
        <v>416.4</v>
      </c>
      <c r="M26" s="37" t="n">
        <f aca="false">L26-SUMIFS('TB Actual'!O$7:O$60,'TB Actual'!$D$7:$D$60,$B26)</f>
        <v>603.9</v>
      </c>
      <c r="N26" s="37" t="n">
        <f aca="false">M26-SUMIFS('TB Actual'!P$7:P$60,'TB Actual'!$D$7:$D$60,$B26)</f>
        <v>799.2</v>
      </c>
      <c r="O26" s="37" t="n">
        <f aca="false">N26-SUMIFS('TB Actual'!Q$7:Q$60,'TB Actual'!$D$7:$D$60,$B26)</f>
        <v>461</v>
      </c>
    </row>
    <row r="27" customFormat="false" ht="15" hidden="false" customHeight="false" outlineLevel="0" collapsed="false">
      <c r="B27" s="36" t="s">
        <v>220</v>
      </c>
      <c r="C27" s="37" t="n">
        <f aca="false">-SUMIFS('TB Actual'!E$7:E$60,'TB Actual'!$D$7:$D$60,$B27)</f>
        <v>690</v>
      </c>
      <c r="D27" s="37" t="n">
        <f aca="false">C27-SUMIFS('TB Actual'!F$7:F$60,'TB Actual'!$D$7:$D$60,$B27)</f>
        <v>752</v>
      </c>
      <c r="E27" s="37" t="n">
        <f aca="false">D27-SUMIFS('TB Actual'!G$7:G$60,'TB Actual'!$D$7:$D$60,$B27)</f>
        <v>254</v>
      </c>
      <c r="F27" s="37" t="n">
        <f aca="false">E27-SUMIFS('TB Actual'!H$7:H$60,'TB Actual'!$D$7:$D$60,$B27)</f>
        <v>316</v>
      </c>
      <c r="G27" s="37" t="n">
        <f aca="false">F27-SUMIFS('TB Actual'!I$7:I$60,'TB Actual'!$D$7:$D$60,$B27)</f>
        <v>378</v>
      </c>
      <c r="H27" s="37" t="n">
        <f aca="false">G27-SUMIFS('TB Actual'!J$7:J$60,'TB Actual'!$D$7:$D$60,$B27)</f>
        <v>440</v>
      </c>
      <c r="I27" s="37" t="n">
        <f aca="false">H27-SUMIFS('TB Actual'!K$7:K$60,'TB Actual'!$D$7:$D$60,$B27)</f>
        <v>502</v>
      </c>
      <c r="J27" s="37" t="n">
        <f aca="false">I27-SUMIFS('TB Actual'!L$7:L$60,'TB Actual'!$D$7:$D$60,$B27)</f>
        <v>564</v>
      </c>
      <c r="K27" s="37" t="n">
        <f aca="false">J27-SUMIFS('TB Actual'!M$7:M$60,'TB Actual'!$D$7:$D$60,$B27)</f>
        <v>626</v>
      </c>
      <c r="L27" s="37" t="n">
        <f aca="false">K27-SUMIFS('TB Actual'!N$7:N$60,'TB Actual'!$D$7:$D$60,$B27)</f>
        <v>688</v>
      </c>
      <c r="M27" s="37" t="n">
        <f aca="false">L27-SUMIFS('TB Actual'!O$7:O$60,'TB Actual'!$D$7:$D$60,$B27)</f>
        <v>750</v>
      </c>
      <c r="N27" s="37" t="n">
        <f aca="false">M27-SUMIFS('TB Actual'!P$7:P$60,'TB Actual'!$D$7:$D$60,$B27)</f>
        <v>812</v>
      </c>
      <c r="O27" s="37" t="n">
        <f aca="false">N27-SUMIFS('TB Actual'!Q$7:Q$60,'TB Actual'!$D$7:$D$60,$B27)</f>
        <v>874</v>
      </c>
    </row>
    <row r="28" customFormat="false" ht="15" hidden="false" customHeight="false" outlineLevel="0" collapsed="false">
      <c r="B28" s="36" t="s">
        <v>218</v>
      </c>
      <c r="C28" s="37" t="n">
        <f aca="false">-SUMIFS('TB Actual'!E$7:E$60,'TB Actual'!$D$7:$D$60,$B28)</f>
        <v>1190</v>
      </c>
      <c r="D28" s="37" t="n">
        <f aca="false">C28-SUMIFS('TB Actual'!F$7:F$60,'TB Actual'!$D$7:$D$60,$B28)</f>
        <v>726.1</v>
      </c>
      <c r="E28" s="37" t="n">
        <f aca="false">D28-SUMIFS('TB Actual'!G$7:G$60,'TB Actual'!$D$7:$D$60,$B28)</f>
        <v>722.7</v>
      </c>
      <c r="F28" s="37" t="n">
        <f aca="false">E28-SUMIFS('TB Actual'!H$7:H$60,'TB Actual'!$D$7:$D$60,$B28)</f>
        <v>725.2</v>
      </c>
      <c r="G28" s="37" t="n">
        <f aca="false">F28-SUMIFS('TB Actual'!I$7:I$60,'TB Actual'!$D$7:$D$60,$B28)</f>
        <v>713.8</v>
      </c>
      <c r="H28" s="37" t="n">
        <f aca="false">G28-SUMIFS('TB Actual'!J$7:J$60,'TB Actual'!$D$7:$D$60,$B28)</f>
        <v>695.9</v>
      </c>
      <c r="I28" s="37" t="n">
        <f aca="false">H28-SUMIFS('TB Actual'!K$7:K$60,'TB Actual'!$D$7:$D$60,$B28)</f>
        <v>676.8</v>
      </c>
      <c r="J28" s="37" t="n">
        <f aca="false">I28-SUMIFS('TB Actual'!L$7:L$60,'TB Actual'!$D$7:$D$60,$B28)</f>
        <v>668.7</v>
      </c>
      <c r="K28" s="37" t="n">
        <f aca="false">J28-SUMIFS('TB Actual'!M$7:M$60,'TB Actual'!$D$7:$D$60,$B28)</f>
        <v>724.2</v>
      </c>
      <c r="L28" s="37" t="n">
        <f aca="false">K28-SUMIFS('TB Actual'!N$7:N$60,'TB Actual'!$D$7:$D$60,$B28)</f>
        <v>871.4</v>
      </c>
      <c r="M28" s="37" t="n">
        <f aca="false">L28-SUMIFS('TB Actual'!O$7:O$60,'TB Actual'!$D$7:$D$60,$B28)</f>
        <v>961.6</v>
      </c>
      <c r="N28" s="37" t="n">
        <f aca="false">M28-SUMIFS('TB Actual'!P$7:P$60,'TB Actual'!$D$7:$D$60,$B28)</f>
        <v>969</v>
      </c>
      <c r="O28" s="37" t="n">
        <f aca="false">N28-SUMIFS('TB Actual'!Q$7:Q$60,'TB Actual'!$D$7:$D$60,$B28)</f>
        <v>1003.5</v>
      </c>
    </row>
    <row r="29" customFormat="false" ht="15" hidden="false" customHeight="false" outlineLevel="0" collapsed="false">
      <c r="B29" s="36" t="s">
        <v>224</v>
      </c>
      <c r="C29" s="37" t="n">
        <f aca="false">-SUMIFS('TB Actual'!E$7:E$60,'TB Actual'!$D$7:$D$60,$B29)</f>
        <v>520</v>
      </c>
      <c r="D29" s="37" t="n">
        <f aca="false">C29-SUMIFS('TB Actual'!F$7:F$60,'TB Actual'!$D$7:$D$60,$B29)</f>
        <v>560</v>
      </c>
      <c r="E29" s="37" t="n">
        <f aca="false">D29-SUMIFS('TB Actual'!G$7:G$60,'TB Actual'!$D$7:$D$60,$B29)</f>
        <v>560</v>
      </c>
      <c r="F29" s="37" t="n">
        <f aca="false">E29-SUMIFS('TB Actual'!H$7:H$60,'TB Actual'!$D$7:$D$60,$B29)</f>
        <v>560</v>
      </c>
      <c r="G29" s="37" t="n">
        <f aca="false">F29-SUMIFS('TB Actual'!I$7:I$60,'TB Actual'!$D$7:$D$60,$B29)</f>
        <v>560</v>
      </c>
      <c r="H29" s="37" t="n">
        <f aca="false">G29-SUMIFS('TB Actual'!J$7:J$60,'TB Actual'!$D$7:$D$60,$B29)</f>
        <v>560</v>
      </c>
      <c r="I29" s="37" t="n">
        <f aca="false">H29-SUMIFS('TB Actual'!K$7:K$60,'TB Actual'!$D$7:$D$60,$B29)</f>
        <v>560</v>
      </c>
      <c r="J29" s="37" t="n">
        <f aca="false">I29-SUMIFS('TB Actual'!L$7:L$60,'TB Actual'!$D$7:$D$60,$B29)</f>
        <v>560</v>
      </c>
      <c r="K29" s="37" t="n">
        <f aca="false">J29-SUMIFS('TB Actual'!M$7:M$60,'TB Actual'!$D$7:$D$60,$B29)</f>
        <v>560</v>
      </c>
      <c r="L29" s="37" t="n">
        <f aca="false">K29-SUMIFS('TB Actual'!N$7:N$60,'TB Actual'!$D$7:$D$60,$B29)</f>
        <v>560</v>
      </c>
      <c r="M29" s="37" t="n">
        <f aca="false">L29-SUMIFS('TB Actual'!O$7:O$60,'TB Actual'!$D$7:$D$60,$B29)</f>
        <v>560</v>
      </c>
      <c r="N29" s="37" t="n">
        <f aca="false">M29-SUMIFS('TB Actual'!P$7:P$60,'TB Actual'!$D$7:$D$60,$B29)</f>
        <v>560</v>
      </c>
      <c r="O29" s="37" t="n">
        <f aca="false">N29-SUMIFS('TB Actual'!Q$7:Q$60,'TB Actual'!$D$7:$D$60,$B29)</f>
        <v>560</v>
      </c>
    </row>
    <row r="30" customFormat="false" ht="15" hidden="false" customHeight="false" outlineLevel="0" collapsed="false">
      <c r="B30" s="36" t="s">
        <v>227</v>
      </c>
      <c r="C30" s="37" t="n">
        <f aca="false">-SUMIFS('TB Actual'!E$7:E$60,'TB Actual'!$D$7:$D$60,$B30)</f>
        <v>1000</v>
      </c>
      <c r="D30" s="37" t="n">
        <f aca="false">C30-SUMIFS('TB Actual'!F$7:F$60,'TB Actual'!$D$7:$D$60,$B30)</f>
        <v>1000</v>
      </c>
      <c r="E30" s="37" t="n">
        <f aca="false">D30-SUMIFS('TB Actual'!G$7:G$60,'TB Actual'!$D$7:$D$60,$B30)</f>
        <v>1000</v>
      </c>
      <c r="F30" s="37" t="n">
        <f aca="false">E30-SUMIFS('TB Actual'!H$7:H$60,'TB Actual'!$D$7:$D$60,$B30)</f>
        <v>1000</v>
      </c>
      <c r="G30" s="37" t="n">
        <f aca="false">F30-SUMIFS('TB Actual'!I$7:I$60,'TB Actual'!$D$7:$D$60,$B30)</f>
        <v>1000</v>
      </c>
      <c r="H30" s="37" t="n">
        <f aca="false">G30-SUMIFS('TB Actual'!J$7:J$60,'TB Actual'!$D$7:$D$60,$B30)</f>
        <v>1000</v>
      </c>
      <c r="I30" s="37" t="n">
        <f aca="false">H30-SUMIFS('TB Actual'!K$7:K$60,'TB Actual'!$D$7:$D$60,$B30)</f>
        <v>1000</v>
      </c>
      <c r="J30" s="37" t="n">
        <f aca="false">I30-SUMIFS('TB Actual'!L$7:L$60,'TB Actual'!$D$7:$D$60,$B30)</f>
        <v>1000</v>
      </c>
      <c r="K30" s="37" t="n">
        <f aca="false">J30-SUMIFS('TB Actual'!M$7:M$60,'TB Actual'!$D$7:$D$60,$B30)</f>
        <v>1000</v>
      </c>
      <c r="L30" s="37" t="n">
        <f aca="false">K30-SUMIFS('TB Actual'!N$7:N$60,'TB Actual'!$D$7:$D$60,$B30)</f>
        <v>1000</v>
      </c>
      <c r="M30" s="37" t="n">
        <f aca="false">L30-SUMIFS('TB Actual'!O$7:O$60,'TB Actual'!$D$7:$D$60,$B30)</f>
        <v>1000</v>
      </c>
      <c r="N30" s="37" t="n">
        <f aca="false">M30-SUMIFS('TB Actual'!P$7:P$60,'TB Actual'!$D$7:$D$60,$B30)</f>
        <v>1000</v>
      </c>
      <c r="O30" s="37" t="n">
        <f aca="false">N30-SUMIFS('TB Actual'!Q$7:Q$60,'TB Actual'!$D$7:$D$60,$B30)</f>
        <v>1000</v>
      </c>
    </row>
    <row r="31" customFormat="false" ht="15" hidden="false" customHeight="false" outlineLevel="0" collapsed="false">
      <c r="B31" s="36" t="s">
        <v>230</v>
      </c>
      <c r="C31" s="37" t="n">
        <f aca="false">-SUMIFS('TB Actual'!E$7:E$60,'TB Actual'!$D$7:$D$60,$B31)</f>
        <v>120</v>
      </c>
      <c r="D31" s="37" t="n">
        <f aca="false">C31-SUMIFS('TB Actual'!F$7:F$60,'TB Actual'!$D$7:$D$60,$B31)</f>
        <v>91.4</v>
      </c>
      <c r="E31" s="37" t="n">
        <f aca="false">D31-SUMIFS('TB Actual'!G$7:G$60,'TB Actual'!$D$7:$D$60,$B31)</f>
        <v>131.8</v>
      </c>
      <c r="F31" s="37" t="n">
        <f aca="false">E31-SUMIFS('TB Actual'!H$7:H$60,'TB Actual'!$D$7:$D$60,$B31)</f>
        <v>163.8</v>
      </c>
      <c r="G31" s="37" t="n">
        <f aca="false">F31-SUMIFS('TB Actual'!I$7:I$60,'TB Actual'!$D$7:$D$60,$B31)</f>
        <v>109.3</v>
      </c>
      <c r="H31" s="37" t="n">
        <f aca="false">G31-SUMIFS('TB Actual'!J$7:J$60,'TB Actual'!$D$7:$D$60,$B31)</f>
        <v>128.4</v>
      </c>
      <c r="I31" s="37" t="n">
        <f aca="false">H31-SUMIFS('TB Actual'!K$7:K$60,'TB Actual'!$D$7:$D$60,$B31)</f>
        <v>136.7</v>
      </c>
      <c r="J31" s="37" t="n">
        <f aca="false">I31-SUMIFS('TB Actual'!L$7:L$60,'TB Actual'!$D$7:$D$60,$B31)</f>
        <v>67.8</v>
      </c>
      <c r="K31" s="37" t="n">
        <f aca="false">J31-SUMIFS('TB Actual'!M$7:M$60,'TB Actual'!$D$7:$D$60,$B31)</f>
        <v>80.7</v>
      </c>
      <c r="L31" s="37" t="n">
        <f aca="false">K31-SUMIFS('TB Actual'!N$7:N$60,'TB Actual'!$D$7:$D$60,$B31)</f>
        <v>102.8</v>
      </c>
      <c r="M31" s="37" t="n">
        <f aca="false">L31-SUMIFS('TB Actual'!O$7:O$60,'TB Actual'!$D$7:$D$60,$B31)</f>
        <v>60.2</v>
      </c>
      <c r="N31" s="37" t="n">
        <f aca="false">M31-SUMIFS('TB Actual'!P$7:P$60,'TB Actual'!$D$7:$D$60,$B31)</f>
        <v>94.9</v>
      </c>
      <c r="O31" s="37" t="n">
        <f aca="false">N31-SUMIFS('TB Actual'!Q$7:Q$60,'TB Actual'!$D$7:$D$60,$B31)</f>
        <v>96.2</v>
      </c>
    </row>
    <row r="32" customFormat="false" ht="15" hidden="false" customHeight="false" outlineLevel="0" collapsed="false">
      <c r="B32" s="36" t="s">
        <v>233</v>
      </c>
      <c r="C32" s="37" t="n">
        <f aca="false">-SUMIFS('TB Actual'!E$7:E$60,'TB Actual'!$D$7:$D$60,$B32)</f>
        <v>1130</v>
      </c>
      <c r="D32" s="37" t="n">
        <f aca="false">C32-SUMIFS('TB Actual'!F$7:F$60,'TB Actual'!$D$7:$D$60,$B32)</f>
        <v>1130</v>
      </c>
      <c r="E32" s="37" t="n">
        <f aca="false">D32-SUMIFS('TB Actual'!G$7:G$60,'TB Actual'!$D$7:$D$60,$B32)</f>
        <v>1104.4</v>
      </c>
      <c r="F32" s="37" t="n">
        <f aca="false">E32-SUMIFS('TB Actual'!H$7:H$60,'TB Actual'!$D$7:$D$60,$B32)</f>
        <v>1073.8</v>
      </c>
      <c r="G32" s="37" t="n">
        <f aca="false">F32-SUMIFS('TB Actual'!I$7:I$60,'TB Actual'!$D$7:$D$60,$B32)</f>
        <v>1014.8</v>
      </c>
      <c r="H32" s="37" t="n">
        <f aca="false">G32-SUMIFS('TB Actual'!J$7:J$60,'TB Actual'!$D$7:$D$60,$B32)</f>
        <v>981.6</v>
      </c>
      <c r="I32" s="37" t="n">
        <f aca="false">H32-SUMIFS('TB Actual'!K$7:K$60,'TB Actual'!$D$7:$D$60,$B32)</f>
        <v>944.6</v>
      </c>
      <c r="J32" s="37" t="n">
        <f aca="false">I32-SUMIFS('TB Actual'!L$7:L$60,'TB Actual'!$D$7:$D$60,$B32)</f>
        <v>914.4</v>
      </c>
      <c r="K32" s="37" t="n">
        <f aca="false">J32-SUMIFS('TB Actual'!M$7:M$60,'TB Actual'!$D$7:$D$60,$B32)</f>
        <v>954.5</v>
      </c>
      <c r="L32" s="37" t="n">
        <f aca="false">K32-SUMIFS('TB Actual'!N$7:N$60,'TB Actual'!$D$7:$D$60,$B32)</f>
        <v>1057.2</v>
      </c>
      <c r="M32" s="37" t="n">
        <f aca="false">L32-SUMIFS('TB Actual'!O$7:O$60,'TB Actual'!$D$7:$D$60,$B32)</f>
        <v>1134.8</v>
      </c>
      <c r="N32" s="37" t="n">
        <f aca="false">M32-SUMIFS('TB Actual'!P$7:P$60,'TB Actual'!$D$7:$D$60,$B32)</f>
        <v>1155.5</v>
      </c>
      <c r="O32" s="37" t="n">
        <f aca="false">N32-SUMIFS('TB Actual'!Q$7:Q$60,'TB Actual'!$D$7:$D$60,$B32)</f>
        <v>1096.6</v>
      </c>
    </row>
    <row r="33" customFormat="false" ht="15" hidden="false" customHeight="false" outlineLevel="0" collapsed="false">
      <c r="B33" s="39" t="s">
        <v>368</v>
      </c>
      <c r="C33" s="40" t="n">
        <f aca="false">SUM(C25:C32)</f>
        <v>11370</v>
      </c>
      <c r="D33" s="40" t="n">
        <f aca="false">SUM(D25:D32)</f>
        <v>10581.7</v>
      </c>
      <c r="E33" s="40" t="n">
        <f aca="false">SUM(E25:E32)</f>
        <v>9578.8</v>
      </c>
      <c r="F33" s="40" t="n">
        <f aca="false">SUM(F25:F32)</f>
        <v>9385.4</v>
      </c>
      <c r="G33" s="40" t="n">
        <f aca="false">SUM(G25:G32)</f>
        <v>9066.1</v>
      </c>
      <c r="H33" s="40" t="n">
        <f aca="false">SUM(H25:H32)</f>
        <v>8810.8</v>
      </c>
      <c r="I33" s="40" t="n">
        <f aca="false">SUM(I25:I32)</f>
        <v>8204.8</v>
      </c>
      <c r="J33" s="40" t="n">
        <f aca="false">SUM(J25:J32)</f>
        <v>7967.3</v>
      </c>
      <c r="K33" s="40" t="n">
        <f aca="false">SUM(K25:K32)</f>
        <v>8192.1</v>
      </c>
      <c r="L33" s="40" t="n">
        <f aca="false">SUM(L25:L32)</f>
        <v>8717.6</v>
      </c>
      <c r="M33" s="40" t="n">
        <f aca="false">SUM(M25:M32)</f>
        <v>9875</v>
      </c>
      <c r="N33" s="40" t="n">
        <f aca="false">SUM(N25:N32)</f>
        <v>10937</v>
      </c>
      <c r="O33" s="40" t="n">
        <f aca="false">SUM(O25:O32)</f>
        <v>10808.2</v>
      </c>
    </row>
    <row r="35" customFormat="false" ht="15" hidden="false" customHeight="false" outlineLevel="0" collapsed="false">
      <c r="B35" s="11" t="s">
        <v>369</v>
      </c>
    </row>
    <row r="36" customFormat="false" ht="15" hidden="false" customHeight="false" outlineLevel="0" collapsed="false">
      <c r="B36" s="36" t="s">
        <v>238</v>
      </c>
      <c r="C36" s="37" t="n">
        <f aca="false">-SUMIFS('TB Actual'!E$7:E$60,'TB Actual'!$D$7:$D$60,$B36)</f>
        <v>1560</v>
      </c>
      <c r="D36" s="37" t="n">
        <f aca="false">C36-SUMIFS('TB Actual'!F$7:F$60,'TB Actual'!$D$7:$D$60,$B36)</f>
        <v>1474.6</v>
      </c>
      <c r="E36" s="37" t="n">
        <f aca="false">D36-SUMIFS('TB Actual'!G$7:G$60,'TB Actual'!$D$7:$D$60,$B36)</f>
        <v>1428.9</v>
      </c>
      <c r="F36" s="37" t="n">
        <f aca="false">E36-SUMIFS('TB Actual'!H$7:H$60,'TB Actual'!$D$7:$D$60,$B36)</f>
        <v>1383</v>
      </c>
      <c r="G36" s="37" t="n">
        <f aca="false">F36-SUMIFS('TB Actual'!I$7:I$60,'TB Actual'!$D$7:$D$60,$B36)</f>
        <v>1336.9</v>
      </c>
      <c r="H36" s="37" t="n">
        <f aca="false">G36-SUMIFS('TB Actual'!J$7:J$60,'TB Actual'!$D$7:$D$60,$B36)</f>
        <v>1290.5</v>
      </c>
      <c r="I36" s="37" t="n">
        <f aca="false">H36-SUMIFS('TB Actual'!K$7:K$60,'TB Actual'!$D$7:$D$60,$B36)</f>
        <v>1243.9</v>
      </c>
      <c r="J36" s="37" t="n">
        <f aca="false">I36-SUMIFS('TB Actual'!L$7:L$60,'TB Actual'!$D$7:$D$60,$B36)</f>
        <v>1197.1</v>
      </c>
      <c r="K36" s="37" t="n">
        <f aca="false">J36-SUMIFS('TB Actual'!M$7:M$60,'TB Actual'!$D$7:$D$60,$B36)</f>
        <v>1150</v>
      </c>
      <c r="L36" s="37" t="n">
        <f aca="false">K36-SUMIFS('TB Actual'!N$7:N$60,'TB Actual'!$D$7:$D$60,$B36)</f>
        <v>1102.7</v>
      </c>
      <c r="M36" s="37" t="n">
        <f aca="false">L36-SUMIFS('TB Actual'!O$7:O$60,'TB Actual'!$D$7:$D$60,$B36)</f>
        <v>1405.2</v>
      </c>
      <c r="N36" s="37" t="n">
        <f aca="false">M36-SUMIFS('TB Actual'!P$7:P$60,'TB Actual'!$D$7:$D$60,$B36)</f>
        <v>1359.2</v>
      </c>
      <c r="O36" s="37" t="n">
        <f aca="false">N36-SUMIFS('TB Actual'!Q$7:Q$60,'TB Actual'!$D$7:$D$60,$B36)</f>
        <v>1313</v>
      </c>
    </row>
    <row r="37" customFormat="false" ht="15" hidden="false" customHeight="false" outlineLevel="0" collapsed="false">
      <c r="B37" s="36" t="s">
        <v>242</v>
      </c>
      <c r="C37" s="37" t="n">
        <f aca="false">-SUMIFS('TB Actual'!E$7:E$60,'TB Actual'!$D$7:$D$60,$B37)</f>
        <v>2000</v>
      </c>
      <c r="D37" s="37" t="n">
        <f aca="false">C37-SUMIFS('TB Actual'!F$7:F$60,'TB Actual'!$D$7:$D$60,$B37)</f>
        <v>2000</v>
      </c>
      <c r="E37" s="37" t="n">
        <f aca="false">D37-SUMIFS('TB Actual'!G$7:G$60,'TB Actual'!$D$7:$D$60,$B37)</f>
        <v>2000</v>
      </c>
      <c r="F37" s="37" t="n">
        <f aca="false">E37-SUMIFS('TB Actual'!H$7:H$60,'TB Actual'!$D$7:$D$60,$B37)</f>
        <v>1750</v>
      </c>
      <c r="G37" s="37" t="n">
        <f aca="false">F37-SUMIFS('TB Actual'!I$7:I$60,'TB Actual'!$D$7:$D$60,$B37)</f>
        <v>1750</v>
      </c>
      <c r="H37" s="37" t="n">
        <f aca="false">G37-SUMIFS('TB Actual'!J$7:J$60,'TB Actual'!$D$7:$D$60,$B37)</f>
        <v>1750</v>
      </c>
      <c r="I37" s="37" t="n">
        <f aca="false">H37-SUMIFS('TB Actual'!K$7:K$60,'TB Actual'!$D$7:$D$60,$B37)</f>
        <v>1500</v>
      </c>
      <c r="J37" s="37" t="n">
        <f aca="false">I37-SUMIFS('TB Actual'!L$7:L$60,'TB Actual'!$D$7:$D$60,$B37)</f>
        <v>1500</v>
      </c>
      <c r="K37" s="37" t="n">
        <f aca="false">J37-SUMIFS('TB Actual'!M$7:M$60,'TB Actual'!$D$7:$D$60,$B37)</f>
        <v>1500</v>
      </c>
      <c r="L37" s="37" t="n">
        <f aca="false">K37-SUMIFS('TB Actual'!N$7:N$60,'TB Actual'!$D$7:$D$60,$B37)</f>
        <v>1250</v>
      </c>
      <c r="M37" s="37" t="n">
        <f aca="false">L37-SUMIFS('TB Actual'!O$7:O$60,'TB Actual'!$D$7:$D$60,$B37)</f>
        <v>1250</v>
      </c>
      <c r="N37" s="37" t="n">
        <f aca="false">M37-SUMIFS('TB Actual'!P$7:P$60,'TB Actual'!$D$7:$D$60,$B37)</f>
        <v>1250</v>
      </c>
      <c r="O37" s="37" t="n">
        <f aca="false">N37-SUMIFS('TB Actual'!Q$7:Q$60,'TB Actual'!$D$7:$D$60,$B37)</f>
        <v>1000</v>
      </c>
    </row>
    <row r="38" customFormat="false" ht="15" hidden="false" customHeight="false" outlineLevel="0" collapsed="false">
      <c r="B38" s="39" t="s">
        <v>370</v>
      </c>
      <c r="C38" s="40" t="n">
        <f aca="false">SUM(C36:C37)</f>
        <v>3560</v>
      </c>
      <c r="D38" s="40" t="n">
        <f aca="false">SUM(D36:D37)</f>
        <v>3474.6</v>
      </c>
      <c r="E38" s="40" t="n">
        <f aca="false">SUM(E36:E37)</f>
        <v>3428.9</v>
      </c>
      <c r="F38" s="40" t="n">
        <f aca="false">SUM(F36:F37)</f>
        <v>3133</v>
      </c>
      <c r="G38" s="40" t="n">
        <f aca="false">SUM(G36:G37)</f>
        <v>3086.9</v>
      </c>
      <c r="H38" s="40" t="n">
        <f aca="false">SUM(H36:H37)</f>
        <v>3040.5</v>
      </c>
      <c r="I38" s="40" t="n">
        <f aca="false">SUM(I36:I37)</f>
        <v>2743.9</v>
      </c>
      <c r="J38" s="40" t="n">
        <f aca="false">SUM(J36:J37)</f>
        <v>2697.1</v>
      </c>
      <c r="K38" s="40" t="n">
        <f aca="false">SUM(K36:K37)</f>
        <v>2650</v>
      </c>
      <c r="L38" s="40" t="n">
        <f aca="false">SUM(L36:L37)</f>
        <v>2352.7</v>
      </c>
      <c r="M38" s="40" t="n">
        <f aca="false">SUM(M36:M37)</f>
        <v>2655.2</v>
      </c>
      <c r="N38" s="40" t="n">
        <f aca="false">SUM(N36:N37)</f>
        <v>2609.2</v>
      </c>
      <c r="O38" s="40" t="n">
        <f aca="false">SUM(O36:O37)</f>
        <v>2313</v>
      </c>
    </row>
    <row r="40" customFormat="false" ht="15" hidden="false" customHeight="false" outlineLevel="0" collapsed="false">
      <c r="B40" s="11" t="s">
        <v>371</v>
      </c>
    </row>
    <row r="41" customFormat="false" ht="15" hidden="false" customHeight="false" outlineLevel="0" collapsed="false">
      <c r="B41" s="36" t="s">
        <v>244</v>
      </c>
      <c r="C41" s="37" t="n">
        <f aca="false">-SUMIFS('TB Actual'!E$7:E$60,'TB Actual'!$D$7:$D$60,$B41)</f>
        <v>500</v>
      </c>
      <c r="D41" s="37" t="n">
        <f aca="false">C41-SUMIFS('TB Actual'!F$7:F$60,'TB Actual'!$D$7:$D$60,$B41)</f>
        <v>500</v>
      </c>
      <c r="E41" s="37" t="n">
        <f aca="false">D41-SUMIFS('TB Actual'!G$7:G$60,'TB Actual'!$D$7:$D$60,$B41)</f>
        <v>500</v>
      </c>
      <c r="F41" s="37" t="n">
        <f aca="false">E41-SUMIFS('TB Actual'!H$7:H$60,'TB Actual'!$D$7:$D$60,$B41)</f>
        <v>500</v>
      </c>
      <c r="G41" s="37" t="n">
        <f aca="false">F41-SUMIFS('TB Actual'!I$7:I$60,'TB Actual'!$D$7:$D$60,$B41)</f>
        <v>500</v>
      </c>
      <c r="H41" s="37" t="n">
        <f aca="false">G41-SUMIFS('TB Actual'!J$7:J$60,'TB Actual'!$D$7:$D$60,$B41)</f>
        <v>500</v>
      </c>
      <c r="I41" s="37" t="n">
        <f aca="false">H41-SUMIFS('TB Actual'!K$7:K$60,'TB Actual'!$D$7:$D$60,$B41)</f>
        <v>500</v>
      </c>
      <c r="J41" s="37" t="n">
        <f aca="false">I41-SUMIFS('TB Actual'!L$7:L$60,'TB Actual'!$D$7:$D$60,$B41)</f>
        <v>500</v>
      </c>
      <c r="K41" s="37" t="n">
        <f aca="false">J41-SUMIFS('TB Actual'!M$7:M$60,'TB Actual'!$D$7:$D$60,$B41)</f>
        <v>500</v>
      </c>
      <c r="L41" s="37" t="n">
        <f aca="false">K41-SUMIFS('TB Actual'!N$7:N$60,'TB Actual'!$D$7:$D$60,$B41)</f>
        <v>500</v>
      </c>
      <c r="M41" s="37" t="n">
        <f aca="false">L41-SUMIFS('TB Actual'!O$7:O$60,'TB Actual'!$D$7:$D$60,$B41)</f>
        <v>500</v>
      </c>
      <c r="N41" s="37" t="n">
        <f aca="false">M41-SUMIFS('TB Actual'!P$7:P$60,'TB Actual'!$D$7:$D$60,$B41)</f>
        <v>500</v>
      </c>
      <c r="O41" s="37" t="n">
        <f aca="false">N41-SUMIFS('TB Actual'!Q$7:Q$60,'TB Actual'!$D$7:$D$60,$B41)</f>
        <v>500</v>
      </c>
    </row>
    <row r="42" customFormat="false" ht="15" hidden="false" customHeight="false" outlineLevel="0" collapsed="false">
      <c r="B42" s="36" t="s">
        <v>248</v>
      </c>
      <c r="C42" s="37" t="n">
        <f aca="false">-SUMIFS('TB Actual'!E$7:E$60,'TB Actual'!$D$7:$D$60,$B42)</f>
        <v>5220</v>
      </c>
      <c r="D42" s="37" t="n">
        <f aca="false">C42-SUMIFS('TB Actual'!F$7:F$60,'TB Actual'!$D$7:$D$60,$B42)</f>
        <v>5220</v>
      </c>
      <c r="E42" s="37" t="n">
        <f aca="false">D42-SUMIFS('TB Actual'!G$7:G$60,'TB Actual'!$D$7:$D$60,$B42)</f>
        <v>5220</v>
      </c>
      <c r="F42" s="37" t="n">
        <f aca="false">E42-SUMIFS('TB Actual'!H$7:H$60,'TB Actual'!$D$7:$D$60,$B42)</f>
        <v>5220</v>
      </c>
      <c r="G42" s="37" t="n">
        <f aca="false">F42-SUMIFS('TB Actual'!I$7:I$60,'TB Actual'!$D$7:$D$60,$B42)</f>
        <v>5220</v>
      </c>
      <c r="H42" s="37" t="n">
        <f aca="false">G42-SUMIFS('TB Actual'!J$7:J$60,'TB Actual'!$D$7:$D$60,$B42)</f>
        <v>5220</v>
      </c>
      <c r="I42" s="37" t="n">
        <f aca="false">H42-SUMIFS('TB Actual'!K$7:K$60,'TB Actual'!$D$7:$D$60,$B42)</f>
        <v>4020</v>
      </c>
      <c r="J42" s="37" t="n">
        <f aca="false">I42-SUMIFS('TB Actual'!L$7:L$60,'TB Actual'!$D$7:$D$60,$B42)</f>
        <v>4020</v>
      </c>
      <c r="K42" s="37" t="n">
        <f aca="false">J42-SUMIFS('TB Actual'!M$7:M$60,'TB Actual'!$D$7:$D$60,$B42)</f>
        <v>4020</v>
      </c>
      <c r="L42" s="37" t="n">
        <f aca="false">K42-SUMIFS('TB Actual'!N$7:N$60,'TB Actual'!$D$7:$D$60,$B42)</f>
        <v>4020</v>
      </c>
      <c r="M42" s="37" t="n">
        <f aca="false">L42-SUMIFS('TB Actual'!O$7:O$60,'TB Actual'!$D$7:$D$60,$B42)</f>
        <v>4020</v>
      </c>
      <c r="N42" s="37" t="n">
        <f aca="false">M42-SUMIFS('TB Actual'!P$7:P$60,'TB Actual'!$D$7:$D$60,$B42)</f>
        <v>4020</v>
      </c>
      <c r="O42" s="37" t="n">
        <f aca="false">N42-SUMIFS('TB Actual'!Q$7:Q$60,'TB Actual'!$D$7:$D$60,$B42)</f>
        <v>4020</v>
      </c>
    </row>
    <row r="43" customFormat="false" ht="15" hidden="false" customHeight="false" outlineLevel="0" collapsed="false">
      <c r="B43" s="36" t="s">
        <v>372</v>
      </c>
      <c r="C43" s="16" t="n">
        <v>0</v>
      </c>
      <c r="D43" s="37" t="n">
        <f aca="false">C43+'P&amp;L Monthly'!C49</f>
        <v>441.6</v>
      </c>
      <c r="E43" s="37" t="n">
        <f aca="false">D43+'P&amp;L Monthly'!D49</f>
        <v>803.200000000001</v>
      </c>
      <c r="F43" s="37" t="n">
        <f aca="false">E43+'P&amp;L Monthly'!E49</f>
        <v>1090.1</v>
      </c>
      <c r="G43" s="37" t="n">
        <f aca="false">F43+'P&amp;L Monthly'!F49</f>
        <v>1301</v>
      </c>
      <c r="H43" s="37" t="n">
        <f aca="false">G43+'P&amp;L Monthly'!G49</f>
        <v>1472.8</v>
      </c>
      <c r="I43" s="37" t="n">
        <f aca="false">H43+'P&amp;L Monthly'!H49</f>
        <v>1548.5</v>
      </c>
      <c r="J43" s="37" t="n">
        <f aca="false">I43+'P&amp;L Monthly'!I49</f>
        <v>1631.4</v>
      </c>
      <c r="K43" s="37" t="n">
        <f aca="false">J43+'P&amp;L Monthly'!J49</f>
        <v>1748.3</v>
      </c>
      <c r="L43" s="37" t="n">
        <f aca="false">K43+'P&amp;L Monthly'!K49</f>
        <v>1947.2</v>
      </c>
      <c r="M43" s="37" t="n">
        <f aca="false">L43+'P&amp;L Monthly'!L49</f>
        <v>2264.6</v>
      </c>
      <c r="N43" s="37" t="n">
        <f aca="false">M43+'P&amp;L Monthly'!M49</f>
        <v>2575.7</v>
      </c>
      <c r="O43" s="37" t="n">
        <f aca="false">N43+'P&amp;L Monthly'!N49</f>
        <v>2588.8</v>
      </c>
    </row>
    <row r="44" customFormat="false" ht="15" hidden="false" customHeight="false" outlineLevel="0" collapsed="false">
      <c r="B44" s="39" t="s">
        <v>373</v>
      </c>
      <c r="C44" s="40" t="n">
        <f aca="false">SUM(C41:C43)</f>
        <v>5720</v>
      </c>
      <c r="D44" s="40" t="n">
        <f aca="false">SUM(D41:D43)</f>
        <v>6161.6</v>
      </c>
      <c r="E44" s="40" t="n">
        <f aca="false">SUM(E41:E43)</f>
        <v>6523.2</v>
      </c>
      <c r="F44" s="40" t="n">
        <f aca="false">SUM(F41:F43)</f>
        <v>6810.1</v>
      </c>
      <c r="G44" s="40" t="n">
        <f aca="false">SUM(G41:G43)</f>
        <v>7021</v>
      </c>
      <c r="H44" s="40" t="n">
        <f aca="false">SUM(H41:H43)</f>
        <v>7192.8</v>
      </c>
      <c r="I44" s="40" t="n">
        <f aca="false">SUM(I41:I43)</f>
        <v>6068.5</v>
      </c>
      <c r="J44" s="40" t="n">
        <f aca="false">SUM(J41:J43)</f>
        <v>6151.4</v>
      </c>
      <c r="K44" s="40" t="n">
        <f aca="false">SUM(K41:K43)</f>
        <v>6268.3</v>
      </c>
      <c r="L44" s="40" t="n">
        <f aca="false">SUM(L41:L43)</f>
        <v>6467.2</v>
      </c>
      <c r="M44" s="40" t="n">
        <f aca="false">SUM(M41:M43)</f>
        <v>6784.6</v>
      </c>
      <c r="N44" s="40" t="n">
        <f aca="false">SUM(N41:N43)</f>
        <v>7095.7</v>
      </c>
      <c r="O44" s="40" t="n">
        <f aca="false">SUM(O41:O43)</f>
        <v>7108.8</v>
      </c>
    </row>
    <row r="46" customFormat="false" ht="15" hidden="false" customHeight="false" outlineLevel="0" collapsed="false">
      <c r="B46" s="39" t="s">
        <v>374</v>
      </c>
      <c r="C46" s="40" t="n">
        <f aca="false">C33+C38+C44</f>
        <v>20650</v>
      </c>
      <c r="D46" s="40" t="n">
        <f aca="false">D33+D38+D44</f>
        <v>20217.9</v>
      </c>
      <c r="E46" s="40" t="n">
        <f aca="false">E33+E38+E44</f>
        <v>19530.9</v>
      </c>
      <c r="F46" s="40" t="n">
        <f aca="false">F33+F38+F44</f>
        <v>19328.5</v>
      </c>
      <c r="G46" s="40" t="n">
        <f aca="false">G33+G38+G44</f>
        <v>19174</v>
      </c>
      <c r="H46" s="40" t="n">
        <f aca="false">H33+H38+H44</f>
        <v>19044.1</v>
      </c>
      <c r="I46" s="40" t="n">
        <f aca="false">I33+I38+I44</f>
        <v>17017.2</v>
      </c>
      <c r="J46" s="40" t="n">
        <f aca="false">J33+J38+J44</f>
        <v>16815.8</v>
      </c>
      <c r="K46" s="40" t="n">
        <f aca="false">K33+K38+K44</f>
        <v>17110.4</v>
      </c>
      <c r="L46" s="40" t="n">
        <f aca="false">L33+L38+L44</f>
        <v>17537.5</v>
      </c>
      <c r="M46" s="40" t="n">
        <f aca="false">M33+M38+M44</f>
        <v>19314.8</v>
      </c>
      <c r="N46" s="40" t="n">
        <f aca="false">N33+N38+N44</f>
        <v>20641.9</v>
      </c>
      <c r="O46" s="40" t="n">
        <f aca="false">O33+O38+O44</f>
        <v>20230</v>
      </c>
    </row>
    <row r="48" customFormat="false" ht="15" hidden="false" customHeight="false" outlineLevel="0" collapsed="false">
      <c r="B48" s="6" t="s">
        <v>375</v>
      </c>
      <c r="C48" s="35" t="n">
        <f aca="false">ROUND(C22-C46,6)</f>
        <v>0</v>
      </c>
      <c r="D48" s="35" t="n">
        <f aca="false">ROUND(D22-D46,6)</f>
        <v>0</v>
      </c>
      <c r="E48" s="35" t="n">
        <f aca="false">ROUND(E22-E46,6)</f>
        <v>0</v>
      </c>
      <c r="F48" s="35" t="n">
        <f aca="false">ROUND(F22-F46,6)</f>
        <v>0</v>
      </c>
      <c r="G48" s="35" t="n">
        <f aca="false">ROUND(G22-G46,6)</f>
        <v>0</v>
      </c>
      <c r="H48" s="35" t="n">
        <f aca="false">ROUND(H22-H46,6)</f>
        <v>0</v>
      </c>
      <c r="I48" s="35" t="n">
        <f aca="false">ROUND(I22-I46,6)</f>
        <v>0</v>
      </c>
      <c r="J48" s="35" t="n">
        <f aca="false">ROUND(J22-J46,6)</f>
        <v>0</v>
      </c>
      <c r="K48" s="35" t="n">
        <f aca="false">ROUND(K22-K46,6)</f>
        <v>0</v>
      </c>
      <c r="L48" s="35" t="n">
        <f aca="false">ROUND(L22-L46,6)</f>
        <v>0</v>
      </c>
      <c r="M48" s="35" t="n">
        <f aca="false">ROUND(M22-M46,6)</f>
        <v>0</v>
      </c>
      <c r="N48" s="35" t="n">
        <f aca="false">ROUND(N22-N46,6)</f>
        <v>0</v>
      </c>
      <c r="O48" s="35" t="n">
        <f aca="false">ROUND(O22-O46,6)</f>
        <v>0</v>
      </c>
    </row>
    <row r="50" customFormat="false" ht="15" hidden="false" customHeight="false" outlineLevel="0" collapsed="false">
      <c r="B50" s="13" t="s">
        <v>376</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552"/>
    <pageSetUpPr fitToPage="true"/>
  </sheetPr>
  <dimension ref="A1:O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4"/>
    <col collapsed="false" customWidth="true" hidden="false" outlineLevel="0" max="15" min="3" style="0" width="10.51"/>
  </cols>
  <sheetData>
    <row r="1" customFormat="false" ht="15" hidden="false" customHeight="false" outlineLevel="0" collapsed="false">
      <c r="A1" s="11" t="s">
        <v>0</v>
      </c>
    </row>
    <row r="2" customFormat="false" ht="19.7" hidden="false" customHeight="false" outlineLevel="0" collapsed="false">
      <c r="A2" s="12" t="s">
        <v>377</v>
      </c>
    </row>
    <row r="3" customFormat="false" ht="15" hidden="false" customHeight="false" outlineLevel="0" collapsed="false">
      <c r="A3" s="13" t="s">
        <v>378</v>
      </c>
    </row>
    <row r="6" customFormat="false" ht="15" hidden="false" customHeight="false" outlineLevel="0" collapsed="false">
      <c r="B6" s="15"/>
      <c r="C6" s="15" t="s">
        <v>154</v>
      </c>
      <c r="D6" s="15" t="s">
        <v>155</v>
      </c>
      <c r="E6" s="15" t="s">
        <v>156</v>
      </c>
      <c r="F6" s="15" t="s">
        <v>157</v>
      </c>
      <c r="G6" s="15" t="s">
        <v>158</v>
      </c>
      <c r="H6" s="15" t="s">
        <v>159</v>
      </c>
      <c r="I6" s="15" t="s">
        <v>160</v>
      </c>
      <c r="J6" s="15" t="s">
        <v>161</v>
      </c>
      <c r="K6" s="15" t="s">
        <v>162</v>
      </c>
      <c r="L6" s="15" t="s">
        <v>163</v>
      </c>
      <c r="M6" s="15" t="s">
        <v>164</v>
      </c>
      <c r="N6" s="15" t="s">
        <v>165</v>
      </c>
      <c r="O6" s="15" t="s">
        <v>332</v>
      </c>
    </row>
    <row r="8" customFormat="false" ht="15" hidden="false" customHeight="false" outlineLevel="0" collapsed="false">
      <c r="B8" s="11" t="s">
        <v>379</v>
      </c>
    </row>
    <row r="9" customFormat="false" ht="15" hidden="false" customHeight="false" outlineLevel="0" collapsed="false">
      <c r="B9" s="36" t="s">
        <v>344</v>
      </c>
      <c r="C9" s="37" t="n">
        <f aca="false">'P&amp;L Monthly'!C49</f>
        <v>441.6</v>
      </c>
      <c r="D9" s="37" t="n">
        <f aca="false">'P&amp;L Monthly'!D49</f>
        <v>361.6</v>
      </c>
      <c r="E9" s="37" t="n">
        <f aca="false">'P&amp;L Monthly'!E49</f>
        <v>286.9</v>
      </c>
      <c r="F9" s="37" t="n">
        <f aca="false">'P&amp;L Monthly'!F49</f>
        <v>210.9</v>
      </c>
      <c r="G9" s="37" t="n">
        <f aca="false">'P&amp;L Monthly'!G49</f>
        <v>171.8</v>
      </c>
      <c r="H9" s="37" t="n">
        <f aca="false">'P&amp;L Monthly'!H49</f>
        <v>75.7000000000001</v>
      </c>
      <c r="I9" s="37" t="n">
        <f aca="false">'P&amp;L Monthly'!I49</f>
        <v>82.9000000000003</v>
      </c>
      <c r="J9" s="37" t="n">
        <f aca="false">'P&amp;L Monthly'!J49</f>
        <v>116.9</v>
      </c>
      <c r="K9" s="37" t="n">
        <f aca="false">'P&amp;L Monthly'!K49</f>
        <v>198.9</v>
      </c>
      <c r="L9" s="37" t="n">
        <f aca="false">'P&amp;L Monthly'!L49</f>
        <v>317.399999999999</v>
      </c>
      <c r="M9" s="37" t="n">
        <f aca="false">'P&amp;L Monthly'!M49</f>
        <v>311.100000000001</v>
      </c>
      <c r="N9" s="37" t="n">
        <f aca="false">'P&amp;L Monthly'!N49</f>
        <v>13.1000000000002</v>
      </c>
      <c r="O9" s="38" t="n">
        <f aca="false">SUM(C9:N9)</f>
        <v>2588.8</v>
      </c>
    </row>
    <row r="10" customFormat="false" ht="15" hidden="false" customHeight="false" outlineLevel="0" collapsed="false">
      <c r="B10" s="36" t="s">
        <v>296</v>
      </c>
      <c r="C10" s="37" t="n">
        <f aca="false">-(SUMIFS('TB Actual'!F$7:F$60,'TB Actual'!$B$7:$B$60,"1215"))</f>
        <v>20.5</v>
      </c>
      <c r="D10" s="37" t="n">
        <f aca="false">-(SUMIFS('TB Actual'!G$7:G$60,'TB Actual'!$B$7:$B$60,"1215"))</f>
        <v>20.5</v>
      </c>
      <c r="E10" s="37" t="n">
        <f aca="false">-(SUMIFS('TB Actual'!H$7:H$60,'TB Actual'!$B$7:$B$60,"1215"))</f>
        <v>20.5</v>
      </c>
      <c r="F10" s="37" t="n">
        <f aca="false">-(SUMIFS('TB Actual'!I$7:I$60,'TB Actual'!$B$7:$B$60,"1215"))</f>
        <v>20.5</v>
      </c>
      <c r="G10" s="37" t="n">
        <f aca="false">-(SUMIFS('TB Actual'!J$7:J$60,'TB Actual'!$B$7:$B$60,"1215"))</f>
        <v>20.5</v>
      </c>
      <c r="H10" s="37" t="n">
        <f aca="false">-(SUMIFS('TB Actual'!K$7:K$60,'TB Actual'!$B$7:$B$60,"1215"))</f>
        <v>20.5</v>
      </c>
      <c r="I10" s="37" t="n">
        <f aca="false">-(SUMIFS('TB Actual'!L$7:L$60,'TB Actual'!$B$7:$B$60,"1215"))</f>
        <v>20.5</v>
      </c>
      <c r="J10" s="37" t="n">
        <f aca="false">-(SUMIFS('TB Actual'!M$7:M$60,'TB Actual'!$B$7:$B$60,"1215"))</f>
        <v>20.5</v>
      </c>
      <c r="K10" s="37" t="n">
        <f aca="false">-(SUMIFS('TB Actual'!N$7:N$60,'TB Actual'!$B$7:$B$60,"1215"))</f>
        <v>20.5</v>
      </c>
      <c r="L10" s="37" t="n">
        <f aca="false">-(SUMIFS('TB Actual'!O$7:O$60,'TB Actual'!$B$7:$B$60,"1215"))</f>
        <v>20.5</v>
      </c>
      <c r="M10" s="37" t="n">
        <f aca="false">-(SUMIFS('TB Actual'!P$7:P$60,'TB Actual'!$B$7:$B$60,"1215"))</f>
        <v>20.5</v>
      </c>
      <c r="N10" s="37" t="n">
        <f aca="false">-(SUMIFS('TB Actual'!Q$7:Q$60,'TB Actual'!$B$7:$B$60,"1215"))</f>
        <v>20.5</v>
      </c>
      <c r="O10" s="38" t="n">
        <f aca="false">SUM(C10:N10)</f>
        <v>246</v>
      </c>
    </row>
    <row r="11" customFormat="false" ht="15" hidden="false" customHeight="false" outlineLevel="0" collapsed="false">
      <c r="B11" s="36" t="s">
        <v>300</v>
      </c>
      <c r="C11" s="37" t="n">
        <f aca="false">-(SUMIFS('TB Actual'!F$7:F$60,'TB Actual'!$B$7:$B$60,"1315"))</f>
        <v>43.5</v>
      </c>
      <c r="D11" s="37" t="n">
        <f aca="false">-(SUMIFS('TB Actual'!G$7:G$60,'TB Actual'!$B$7:$B$60,"1315"))</f>
        <v>43.5</v>
      </c>
      <c r="E11" s="37" t="n">
        <f aca="false">-(SUMIFS('TB Actual'!H$7:H$60,'TB Actual'!$B$7:$B$60,"1315"))</f>
        <v>43.5</v>
      </c>
      <c r="F11" s="37" t="n">
        <f aca="false">-(SUMIFS('TB Actual'!I$7:I$60,'TB Actual'!$B$7:$B$60,"1315"))</f>
        <v>43.5</v>
      </c>
      <c r="G11" s="37" t="n">
        <f aca="false">-(SUMIFS('TB Actual'!J$7:J$60,'TB Actual'!$B$7:$B$60,"1315"))</f>
        <v>43.5</v>
      </c>
      <c r="H11" s="37" t="n">
        <f aca="false">-(SUMIFS('TB Actual'!K$7:K$60,'TB Actual'!$B$7:$B$60,"1315"))</f>
        <v>43.5</v>
      </c>
      <c r="I11" s="37" t="n">
        <f aca="false">-(SUMIFS('TB Actual'!L$7:L$60,'TB Actual'!$B$7:$B$60,"1315"))</f>
        <v>43.5</v>
      </c>
      <c r="J11" s="37" t="n">
        <f aca="false">-(SUMIFS('TB Actual'!M$7:M$60,'TB Actual'!$B$7:$B$60,"1315"))</f>
        <v>43.5</v>
      </c>
      <c r="K11" s="37" t="n">
        <f aca="false">-(SUMIFS('TB Actual'!N$7:N$60,'TB Actual'!$B$7:$B$60,"1315"))</f>
        <v>43.5</v>
      </c>
      <c r="L11" s="37" t="n">
        <f aca="false">-(SUMIFS('TB Actual'!O$7:O$60,'TB Actual'!$B$7:$B$60,"1315"))</f>
        <v>43.5</v>
      </c>
      <c r="M11" s="37" t="n">
        <f aca="false">-(SUMIFS('TB Actual'!P$7:P$60,'TB Actual'!$B$7:$B$60,"1315"))</f>
        <v>43.5</v>
      </c>
      <c r="N11" s="37" t="n">
        <f aca="false">-(SUMIFS('TB Actual'!Q$7:Q$60,'TB Actual'!$B$7:$B$60,"1315"))</f>
        <v>43.5</v>
      </c>
      <c r="O11" s="38" t="n">
        <f aca="false">SUM(C11:N11)</f>
        <v>522</v>
      </c>
    </row>
    <row r="12" customFormat="false" ht="15" hidden="false" customHeight="false" outlineLevel="0" collapsed="false">
      <c r="B12" s="36" t="s">
        <v>302</v>
      </c>
      <c r="C12" s="37" t="n">
        <f aca="false">-(SUMIFS('TB Actual'!F$7:F$60,'TB Actual'!$B$7:$B$60,"1115"))</f>
        <v>25.8</v>
      </c>
      <c r="D12" s="37" t="n">
        <f aca="false">-(SUMIFS('TB Actual'!G$7:G$60,'TB Actual'!$B$7:$B$60,"1115"))</f>
        <v>25.8</v>
      </c>
      <c r="E12" s="37" t="n">
        <f aca="false">-(SUMIFS('TB Actual'!H$7:H$60,'TB Actual'!$B$7:$B$60,"1115"))</f>
        <v>25.8</v>
      </c>
      <c r="F12" s="37" t="n">
        <f aca="false">-(SUMIFS('TB Actual'!I$7:I$60,'TB Actual'!$B$7:$B$60,"1115"))</f>
        <v>25.8</v>
      </c>
      <c r="G12" s="37" t="n">
        <f aca="false">-(SUMIFS('TB Actual'!J$7:J$60,'TB Actual'!$B$7:$B$60,"1115"))</f>
        <v>25.8</v>
      </c>
      <c r="H12" s="37" t="n">
        <f aca="false">-(SUMIFS('TB Actual'!K$7:K$60,'TB Actual'!$B$7:$B$60,"1115"))</f>
        <v>25.8</v>
      </c>
      <c r="I12" s="37" t="n">
        <f aca="false">-(SUMIFS('TB Actual'!L$7:L$60,'TB Actual'!$B$7:$B$60,"1115"))</f>
        <v>25.8</v>
      </c>
      <c r="J12" s="37" t="n">
        <f aca="false">-(SUMIFS('TB Actual'!M$7:M$60,'TB Actual'!$B$7:$B$60,"1115"))</f>
        <v>25.8</v>
      </c>
      <c r="K12" s="37" t="n">
        <f aca="false">-(SUMIFS('TB Actual'!N$7:N$60,'TB Actual'!$B$7:$B$60,"1115"))</f>
        <v>25.8</v>
      </c>
      <c r="L12" s="37" t="n">
        <f aca="false">-(SUMIFS('TB Actual'!O$7:O$60,'TB Actual'!$B$7:$B$60,"1115"))</f>
        <v>25.8</v>
      </c>
      <c r="M12" s="37" t="n">
        <f aca="false">-(SUMIFS('TB Actual'!P$7:P$60,'TB Actual'!$B$7:$B$60,"1115"))</f>
        <v>25.8</v>
      </c>
      <c r="N12" s="37" t="n">
        <f aca="false">-(SUMIFS('TB Actual'!Q$7:Q$60,'TB Actual'!$B$7:$B$60,"1115"))</f>
        <v>25.8</v>
      </c>
      <c r="O12" s="38" t="n">
        <f aca="false">SUM(C12:N12)</f>
        <v>309.6</v>
      </c>
    </row>
    <row r="13" customFormat="false" ht="15" hidden="false" customHeight="false" outlineLevel="0" collapsed="false">
      <c r="B13" s="36" t="s">
        <v>380</v>
      </c>
      <c r="C13" s="37" t="n">
        <f aca="false">-(SUMIFS('TB Actual'!F$7:F$60,'TB Actual'!$B$7:$B$60,"2110")+SUMIFS('TB Actual'!F$7:F$60,'TB Actual'!$B$7:$B$60,"2190"))</f>
        <v>536.3</v>
      </c>
      <c r="D13" s="37" t="n">
        <f aca="false">-(SUMIFS('TB Actual'!G$7:G$60,'TB Actual'!$B$7:$B$60,"2110")+SUMIFS('TB Actual'!G$7:G$60,'TB Actual'!$B$7:$B$60,"2190"))</f>
        <v>120.5</v>
      </c>
      <c r="E13" s="37" t="n">
        <f aca="false">-(SUMIFS('TB Actual'!H$7:H$60,'TB Actual'!$B$7:$B$60,"2110")+SUMIFS('TB Actual'!H$7:H$60,'TB Actual'!$B$7:$B$60,"2190"))</f>
        <v>59.4</v>
      </c>
      <c r="F13" s="37" t="n">
        <f aca="false">-(SUMIFS('TB Actual'!I$7:I$60,'TB Actual'!$B$7:$B$60,"2110")+SUMIFS('TB Actual'!I$7:I$60,'TB Actual'!$B$7:$B$60,"2190"))</f>
        <v>445.5</v>
      </c>
      <c r="G13" s="37" t="n">
        <f aca="false">-(SUMIFS('TB Actual'!J$7:J$60,'TB Actual'!$B$7:$B$60,"2110")+SUMIFS('TB Actual'!J$7:J$60,'TB Actual'!$B$7:$B$60,"2190"))</f>
        <v>453.4</v>
      </c>
      <c r="H13" s="37" t="n">
        <f aca="false">-(SUMIFS('TB Actual'!K$7:K$60,'TB Actual'!$B$7:$B$60,"2110")+SUMIFS('TB Actual'!K$7:K$60,'TB Actual'!$B$7:$B$60,"2190"))</f>
        <v>484.2</v>
      </c>
      <c r="I13" s="37" t="n">
        <f aca="false">-(SUMIFS('TB Actual'!L$7:L$60,'TB Actual'!$B$7:$B$60,"2110")+SUMIFS('TB Actual'!L$7:L$60,'TB Actual'!$B$7:$B$60,"2190"))</f>
        <v>341.4</v>
      </c>
      <c r="J13" s="37" t="n">
        <f aca="false">-(SUMIFS('TB Actual'!M$7:M$60,'TB Actual'!$B$7:$B$60,"2110")+SUMIFS('TB Actual'!M$7:M$60,'TB Actual'!$B$7:$B$60,"2190"))</f>
        <v>114.9</v>
      </c>
      <c r="K13" s="37" t="n">
        <f aca="false">-(SUMIFS('TB Actual'!N$7:N$60,'TB Actual'!$B$7:$B$60,"2110")+SUMIFS('TB Actual'!N$7:N$60,'TB Actual'!$B$7:$B$60,"2190"))</f>
        <v>-316.9</v>
      </c>
      <c r="L13" s="37" t="n">
        <f aca="false">-(SUMIFS('TB Actual'!O$7:O$60,'TB Actual'!$B$7:$B$60,"2110")+SUMIFS('TB Actual'!O$7:O$60,'TB Actual'!$B$7:$B$60,"2190"))</f>
        <v>-655.7</v>
      </c>
      <c r="M13" s="37" t="n">
        <f aca="false">-(SUMIFS('TB Actual'!P$7:P$60,'TB Actual'!$B$7:$B$60,"2110")+SUMIFS('TB Actual'!P$7:P$60,'TB Actual'!$B$7:$B$60,"2190"))</f>
        <v>-554.6</v>
      </c>
      <c r="N13" s="37" t="n">
        <f aca="false">-(SUMIFS('TB Actual'!Q$7:Q$60,'TB Actual'!$B$7:$B$60,"2110")+SUMIFS('TB Actual'!Q$7:Q$60,'TB Actual'!$B$7:$B$60,"2190"))</f>
        <v>-78.9</v>
      </c>
      <c r="O13" s="38" t="n">
        <f aca="false">SUM(C13:N13)</f>
        <v>949.5</v>
      </c>
    </row>
    <row r="14" customFormat="false" ht="15" hidden="false" customHeight="false" outlineLevel="0" collapsed="false">
      <c r="B14" s="36" t="s">
        <v>381</v>
      </c>
      <c r="C14" s="37" t="n">
        <f aca="false">-(SUMIFS('TB Actual'!F$7:F$60,'TB Actual'!$B$7:$B$60,"2310")+SUMIFS('TB Actual'!F$7:F$60,'TB Actual'!$B$7:$B$60,"2320"))</f>
        <v>-503.2</v>
      </c>
      <c r="D14" s="37" t="n">
        <f aca="false">-(SUMIFS('TB Actual'!G$7:G$60,'TB Actual'!$B$7:$B$60,"2310")+SUMIFS('TB Actual'!G$7:G$60,'TB Actual'!$B$7:$B$60,"2320"))</f>
        <v>167.6</v>
      </c>
      <c r="E14" s="37" t="n">
        <f aca="false">-(SUMIFS('TB Actual'!H$7:H$60,'TB Actual'!$B$7:$B$60,"2310")+SUMIFS('TB Actual'!H$7:H$60,'TB Actual'!$B$7:$B$60,"2320"))</f>
        <v>84.4</v>
      </c>
      <c r="F14" s="37" t="n">
        <f aca="false">-(SUMIFS('TB Actual'!I$7:I$60,'TB Actual'!$B$7:$B$60,"2310")+SUMIFS('TB Actual'!I$7:I$60,'TB Actual'!$B$7:$B$60,"2320"))</f>
        <v>610.5</v>
      </c>
      <c r="G14" s="37" t="n">
        <f aca="false">-(SUMIFS('TB Actual'!J$7:J$60,'TB Actual'!$B$7:$B$60,"2310")+SUMIFS('TB Actual'!J$7:J$60,'TB Actual'!$B$7:$B$60,"2320"))</f>
        <v>621.4</v>
      </c>
      <c r="H14" s="37" t="n">
        <f aca="false">-(SUMIFS('TB Actual'!K$7:K$60,'TB Actual'!$B$7:$B$60,"2310")+SUMIFS('TB Actual'!K$7:K$60,'TB Actual'!$B$7:$B$60,"2320"))</f>
        <v>622.5</v>
      </c>
      <c r="I14" s="37" t="n">
        <f aca="false">-(SUMIFS('TB Actual'!L$7:L$60,'TB Actual'!$B$7:$B$60,"2310")+SUMIFS('TB Actual'!L$7:L$60,'TB Actual'!$B$7:$B$60,"2320"))</f>
        <v>469</v>
      </c>
      <c r="J14" s="37" t="n">
        <f aca="false">-(SUMIFS('TB Actual'!M$7:M$60,'TB Actual'!$B$7:$B$60,"2310")+SUMIFS('TB Actual'!M$7:M$60,'TB Actual'!$B$7:$B$60,"2320"))</f>
        <v>160.3</v>
      </c>
      <c r="K14" s="37" t="n">
        <f aca="false">-(SUMIFS('TB Actual'!N$7:N$60,'TB Actual'!$B$7:$B$60,"2310")+SUMIFS('TB Actual'!N$7:N$60,'TB Actual'!$B$7:$B$60,"2320"))</f>
        <v>-428.3</v>
      </c>
      <c r="L14" s="37" t="n">
        <f aca="false">-(SUMIFS('TB Actual'!O$7:O$60,'TB Actual'!$B$7:$B$60,"2310")+SUMIFS('TB Actual'!O$7:O$60,'TB Actual'!$B$7:$B$60,"2320"))</f>
        <v>-890.3</v>
      </c>
      <c r="M14" s="37" t="n">
        <f aca="false">-(SUMIFS('TB Actual'!P$7:P$60,'TB Actual'!$B$7:$B$60,"2310")+SUMIFS('TB Actual'!P$7:P$60,'TB Actual'!$B$7:$B$60,"2320"))</f>
        <v>-814</v>
      </c>
      <c r="N14" s="37" t="n">
        <f aca="false">-(SUMIFS('TB Actual'!Q$7:Q$60,'TB Actual'!$B$7:$B$60,"2310")+SUMIFS('TB Actual'!Q$7:Q$60,'TB Actual'!$B$7:$B$60,"2320"))</f>
        <v>-104.2</v>
      </c>
      <c r="O14" s="38" t="n">
        <f aca="false">SUM(C14:N14)</f>
        <v>-4.29999999999997</v>
      </c>
    </row>
    <row r="15" customFormat="false" ht="15" hidden="false" customHeight="false" outlineLevel="0" collapsed="false">
      <c r="B15" s="36" t="s">
        <v>382</v>
      </c>
      <c r="C15" s="37" t="n">
        <f aca="false">-(SUMIFS('TB Actual'!F$7:F$60,'TB Actual'!$B$7:$B$60,"2410"))</f>
        <v>-18</v>
      </c>
      <c r="D15" s="37" t="n">
        <f aca="false">-(SUMIFS('TB Actual'!G$7:G$60,'TB Actual'!$B$7:$B$60,"2410"))</f>
        <v>-18</v>
      </c>
      <c r="E15" s="37" t="n">
        <f aca="false">-(SUMIFS('TB Actual'!H$7:H$60,'TB Actual'!$B$7:$B$60,"2410"))</f>
        <v>-18</v>
      </c>
      <c r="F15" s="37" t="n">
        <f aca="false">-(SUMIFS('TB Actual'!I$7:I$60,'TB Actual'!$B$7:$B$60,"2410"))</f>
        <v>-18</v>
      </c>
      <c r="G15" s="37" t="n">
        <f aca="false">-(SUMIFS('TB Actual'!J$7:J$60,'TB Actual'!$B$7:$B$60,"2410"))</f>
        <v>-18</v>
      </c>
      <c r="H15" s="37" t="n">
        <f aca="false">-(SUMIFS('TB Actual'!K$7:K$60,'TB Actual'!$B$7:$B$60,"2410"))</f>
        <v>-18</v>
      </c>
      <c r="I15" s="37" t="n">
        <f aca="false">-(SUMIFS('TB Actual'!L$7:L$60,'TB Actual'!$B$7:$B$60,"2410"))</f>
        <v>-18</v>
      </c>
      <c r="J15" s="37" t="n">
        <f aca="false">-(SUMIFS('TB Actual'!M$7:M$60,'TB Actual'!$B$7:$B$60,"2410"))</f>
        <v>-18</v>
      </c>
      <c r="K15" s="37" t="n">
        <f aca="false">-(SUMIFS('TB Actual'!N$7:N$60,'TB Actual'!$B$7:$B$60,"2410"))</f>
        <v>102</v>
      </c>
      <c r="L15" s="37" t="n">
        <f aca="false">-(SUMIFS('TB Actual'!O$7:O$60,'TB Actual'!$B$7:$B$60,"2410"))</f>
        <v>-18</v>
      </c>
      <c r="M15" s="37" t="n">
        <f aca="false">-(SUMIFS('TB Actual'!P$7:P$60,'TB Actual'!$B$7:$B$60,"2410"))</f>
        <v>-18</v>
      </c>
      <c r="N15" s="37" t="n">
        <f aca="false">-(SUMIFS('TB Actual'!Q$7:Q$60,'TB Actual'!$B$7:$B$60,"2410"))</f>
        <v>-18</v>
      </c>
      <c r="O15" s="38" t="n">
        <f aca="false">SUM(C15:N15)</f>
        <v>-96</v>
      </c>
    </row>
    <row r="16" customFormat="false" ht="15" hidden="false" customHeight="false" outlineLevel="0" collapsed="false">
      <c r="B16" s="36" t="s">
        <v>383</v>
      </c>
      <c r="C16" s="37" t="n">
        <f aca="false">-(SUMIFS('TB Actual'!F$7:F$60,'TB Actual'!$B$7:$B$60,"3110"))</f>
        <v>-75.8</v>
      </c>
      <c r="D16" s="37" t="n">
        <f aca="false">-(SUMIFS('TB Actual'!G$7:G$60,'TB Actual'!$B$7:$B$60,"3110"))</f>
        <v>-46.3</v>
      </c>
      <c r="E16" s="37" t="n">
        <f aca="false">-(SUMIFS('TB Actual'!H$7:H$60,'TB Actual'!$B$7:$B$60,"3110"))</f>
        <v>12.8</v>
      </c>
      <c r="F16" s="37" t="n">
        <f aca="false">-(SUMIFS('TB Actual'!I$7:I$60,'TB Actual'!$B$7:$B$60,"3110"))</f>
        <v>-379.6</v>
      </c>
      <c r="G16" s="37" t="n">
        <f aca="false">-(SUMIFS('TB Actual'!J$7:J$60,'TB Actual'!$B$7:$B$60,"3110"))</f>
        <v>-399.1</v>
      </c>
      <c r="H16" s="37" t="n">
        <f aca="false">-(SUMIFS('TB Actual'!K$7:K$60,'TB Actual'!$B$7:$B$60,"3110"))</f>
        <v>-411.9</v>
      </c>
      <c r="I16" s="37" t="n">
        <f aca="false">-(SUMIFS('TB Actual'!L$7:L$60,'TB Actual'!$B$7:$B$60,"3110"))</f>
        <v>-304.8</v>
      </c>
      <c r="J16" s="37" t="n">
        <f aca="false">-(SUMIFS('TB Actual'!M$7:M$60,'TB Actual'!$B$7:$B$60,"3110"))</f>
        <v>-70.7</v>
      </c>
      <c r="K16" s="37" t="n">
        <f aca="false">-(SUMIFS('TB Actual'!N$7:N$60,'TB Actual'!$B$7:$B$60,"3110"))</f>
        <v>397.2</v>
      </c>
      <c r="L16" s="37" t="n">
        <f aca="false">-(SUMIFS('TB Actual'!O$7:O$60,'TB Actual'!$B$7:$B$60,"3110"))</f>
        <v>782.7</v>
      </c>
      <c r="M16" s="37" t="n">
        <f aca="false">-(SUMIFS('TB Actual'!P$7:P$60,'TB Actual'!$B$7:$B$60,"3110"))</f>
        <v>741.9</v>
      </c>
      <c r="N16" s="37" t="n">
        <f aca="false">-(SUMIFS('TB Actual'!Q$7:Q$60,'TB Actual'!$B$7:$B$60,"3110"))</f>
        <v>170.5</v>
      </c>
      <c r="O16" s="38" t="n">
        <f aca="false">SUM(C16:N16)</f>
        <v>416.9</v>
      </c>
    </row>
    <row r="17" customFormat="false" ht="15" hidden="false" customHeight="false" outlineLevel="0" collapsed="false">
      <c r="B17" s="36" t="s">
        <v>384</v>
      </c>
      <c r="C17" s="37" t="n">
        <f aca="false">-(SUMIFS('TB Actual'!F$7:F$60,'TB Actual'!$B$7:$B$60,"3210"))</f>
        <v>-322</v>
      </c>
      <c r="D17" s="37" t="n">
        <f aca="false">-(SUMIFS('TB Actual'!G$7:G$60,'TB Actual'!$B$7:$B$60,"3210"))</f>
        <v>-470</v>
      </c>
      <c r="E17" s="37" t="n">
        <f aca="false">-(SUMIFS('TB Actual'!H$7:H$60,'TB Actual'!$B$7:$B$60,"3210"))</f>
        <v>-272.1</v>
      </c>
      <c r="F17" s="37" t="n">
        <f aca="false">-(SUMIFS('TB Actual'!I$7:I$60,'TB Actual'!$B$7:$B$60,"3210"))</f>
        <v>123.2</v>
      </c>
      <c r="G17" s="37" t="n">
        <f aca="false">-(SUMIFS('TB Actual'!J$7:J$60,'TB Actual'!$B$7:$B$60,"3210"))</f>
        <v>113.8</v>
      </c>
      <c r="H17" s="37" t="n">
        <f aca="false">-(SUMIFS('TB Actual'!K$7:K$60,'TB Actual'!$B$7:$B$60,"3210"))</f>
        <v>-208.3</v>
      </c>
      <c r="I17" s="37" t="n">
        <f aca="false">-(SUMIFS('TB Actual'!L$7:L$60,'TB Actual'!$B$7:$B$60,"3210"))</f>
        <v>112.5</v>
      </c>
      <c r="J17" s="37" t="n">
        <f aca="false">-(SUMIFS('TB Actual'!M$7:M$60,'TB Actual'!$B$7:$B$60,"3210"))</f>
        <v>125</v>
      </c>
      <c r="K17" s="37" t="n">
        <f aca="false">-(SUMIFS('TB Actual'!N$7:N$60,'TB Actual'!$B$7:$B$60,"3210"))</f>
        <v>-205.7</v>
      </c>
      <c r="L17" s="37" t="n">
        <f aca="false">-(SUMIFS('TB Actual'!O$7:O$60,'TB Actual'!$B$7:$B$60,"3210"))</f>
        <v>187.5</v>
      </c>
      <c r="M17" s="37" t="n">
        <f aca="false">-(SUMIFS('TB Actual'!P$7:P$60,'TB Actual'!$B$7:$B$60,"3210"))</f>
        <v>195.3</v>
      </c>
      <c r="N17" s="37" t="n">
        <f aca="false">-(SUMIFS('TB Actual'!Q$7:Q$60,'TB Actual'!$B$7:$B$60,"3210"))</f>
        <v>-338.2</v>
      </c>
      <c r="O17" s="38" t="n">
        <f aca="false">SUM(C17:N17)</f>
        <v>-959</v>
      </c>
    </row>
    <row r="18" customFormat="false" ht="15" hidden="false" customHeight="false" outlineLevel="0" collapsed="false">
      <c r="B18" s="36" t="s">
        <v>385</v>
      </c>
      <c r="C18" s="37" t="n">
        <f aca="false">-(SUMIFS('TB Actual'!F$7:F$60,'TB Actual'!$B$7:$B$60,"3220")+SUMIFS('TB Actual'!F$7:F$60,'TB Actual'!$B$7:$B$60,"3240"))</f>
        <v>-463.9</v>
      </c>
      <c r="D18" s="37" t="n">
        <f aca="false">-(SUMIFS('TB Actual'!G$7:G$60,'TB Actual'!$B$7:$B$60,"3220")+SUMIFS('TB Actual'!G$7:G$60,'TB Actual'!$B$7:$B$60,"3240"))</f>
        <v>-3.4</v>
      </c>
      <c r="E18" s="37" t="n">
        <f aca="false">-(SUMIFS('TB Actual'!H$7:H$60,'TB Actual'!$B$7:$B$60,"3220")+SUMIFS('TB Actual'!H$7:H$60,'TB Actual'!$B$7:$B$60,"3240"))</f>
        <v>2.5</v>
      </c>
      <c r="F18" s="37" t="n">
        <f aca="false">-(SUMIFS('TB Actual'!I$7:I$60,'TB Actual'!$B$7:$B$60,"3220")+SUMIFS('TB Actual'!I$7:I$60,'TB Actual'!$B$7:$B$60,"3240"))</f>
        <v>-11.4</v>
      </c>
      <c r="G18" s="37" t="n">
        <f aca="false">-(SUMIFS('TB Actual'!J$7:J$60,'TB Actual'!$B$7:$B$60,"3220")+SUMIFS('TB Actual'!J$7:J$60,'TB Actual'!$B$7:$B$60,"3240"))</f>
        <v>-17.9</v>
      </c>
      <c r="H18" s="37" t="n">
        <f aca="false">-(SUMIFS('TB Actual'!K$7:K$60,'TB Actual'!$B$7:$B$60,"3220")+SUMIFS('TB Actual'!K$7:K$60,'TB Actual'!$B$7:$B$60,"3240"))</f>
        <v>-19.1</v>
      </c>
      <c r="I18" s="37" t="n">
        <f aca="false">-(SUMIFS('TB Actual'!L$7:L$60,'TB Actual'!$B$7:$B$60,"3220")+SUMIFS('TB Actual'!L$7:L$60,'TB Actual'!$B$7:$B$60,"3240"))</f>
        <v>-8.1</v>
      </c>
      <c r="J18" s="37" t="n">
        <f aca="false">-(SUMIFS('TB Actual'!M$7:M$60,'TB Actual'!$B$7:$B$60,"3220")+SUMIFS('TB Actual'!M$7:M$60,'TB Actual'!$B$7:$B$60,"3240"))</f>
        <v>55.5</v>
      </c>
      <c r="K18" s="37" t="n">
        <f aca="false">-(SUMIFS('TB Actual'!N$7:N$60,'TB Actual'!$B$7:$B$60,"3220")+SUMIFS('TB Actual'!N$7:N$60,'TB Actual'!$B$7:$B$60,"3240"))</f>
        <v>147.2</v>
      </c>
      <c r="L18" s="37" t="n">
        <f aca="false">-(SUMIFS('TB Actual'!O$7:O$60,'TB Actual'!$B$7:$B$60,"3220")+SUMIFS('TB Actual'!O$7:O$60,'TB Actual'!$B$7:$B$60,"3240"))</f>
        <v>90.2</v>
      </c>
      <c r="M18" s="37" t="n">
        <f aca="false">-(SUMIFS('TB Actual'!P$7:P$60,'TB Actual'!$B$7:$B$60,"3220")+SUMIFS('TB Actual'!P$7:P$60,'TB Actual'!$B$7:$B$60,"3240"))</f>
        <v>7.4</v>
      </c>
      <c r="N18" s="37" t="n">
        <f aca="false">-(SUMIFS('TB Actual'!Q$7:Q$60,'TB Actual'!$B$7:$B$60,"3220")+SUMIFS('TB Actual'!Q$7:Q$60,'TB Actual'!$B$7:$B$60,"3240"))</f>
        <v>34.5</v>
      </c>
      <c r="O18" s="38" t="n">
        <f aca="false">SUM(C18:N18)</f>
        <v>-186.5</v>
      </c>
    </row>
    <row r="19" customFormat="false" ht="15" hidden="false" customHeight="false" outlineLevel="0" collapsed="false">
      <c r="B19" s="36" t="s">
        <v>386</v>
      </c>
      <c r="C19" s="37" t="n">
        <f aca="false">-(SUMIFS('TB Actual'!F$7:F$60,'TB Actual'!$B$7:$B$60,"3230"))</f>
        <v>62</v>
      </c>
      <c r="D19" s="37" t="n">
        <f aca="false">-(SUMIFS('TB Actual'!G$7:G$60,'TB Actual'!$B$7:$B$60,"3230"))</f>
        <v>-498</v>
      </c>
      <c r="E19" s="37" t="n">
        <f aca="false">-(SUMIFS('TB Actual'!H$7:H$60,'TB Actual'!$B$7:$B$60,"3230"))</f>
        <v>62</v>
      </c>
      <c r="F19" s="37" t="n">
        <f aca="false">-(SUMIFS('TB Actual'!I$7:I$60,'TB Actual'!$B$7:$B$60,"3230"))</f>
        <v>62</v>
      </c>
      <c r="G19" s="37" t="n">
        <f aca="false">-(SUMIFS('TB Actual'!J$7:J$60,'TB Actual'!$B$7:$B$60,"3230"))</f>
        <v>62</v>
      </c>
      <c r="H19" s="37" t="n">
        <f aca="false">-(SUMIFS('TB Actual'!K$7:K$60,'TB Actual'!$B$7:$B$60,"3230"))</f>
        <v>62</v>
      </c>
      <c r="I19" s="37" t="n">
        <f aca="false">-(SUMIFS('TB Actual'!L$7:L$60,'TB Actual'!$B$7:$B$60,"3230"))</f>
        <v>62</v>
      </c>
      <c r="J19" s="37" t="n">
        <f aca="false">-(SUMIFS('TB Actual'!M$7:M$60,'TB Actual'!$B$7:$B$60,"3230"))</f>
        <v>62</v>
      </c>
      <c r="K19" s="37" t="n">
        <f aca="false">-(SUMIFS('TB Actual'!N$7:N$60,'TB Actual'!$B$7:$B$60,"3230"))</f>
        <v>62</v>
      </c>
      <c r="L19" s="37" t="n">
        <f aca="false">-(SUMIFS('TB Actual'!O$7:O$60,'TB Actual'!$B$7:$B$60,"3230"))</f>
        <v>62</v>
      </c>
      <c r="M19" s="37" t="n">
        <f aca="false">-(SUMIFS('TB Actual'!P$7:P$60,'TB Actual'!$B$7:$B$60,"3230"))</f>
        <v>62</v>
      </c>
      <c r="N19" s="37" t="n">
        <f aca="false">-(SUMIFS('TB Actual'!Q$7:Q$60,'TB Actual'!$B$7:$B$60,"3230"))</f>
        <v>62</v>
      </c>
      <c r="O19" s="38" t="n">
        <f aca="false">SUM(C19:N19)</f>
        <v>184</v>
      </c>
    </row>
    <row r="20" customFormat="false" ht="15" hidden="false" customHeight="false" outlineLevel="0" collapsed="false">
      <c r="B20" s="36" t="s">
        <v>387</v>
      </c>
      <c r="C20" s="37" t="n">
        <f aca="false">-(SUMIFS('TB Actual'!F$7:F$60,'TB Actual'!$B$7:$B$60,"3520")+SUMIFS('TB Actual'!F$7:F$60,'TB Actual'!$B$7:$B$60,"3610"))</f>
        <v>-0</v>
      </c>
      <c r="D20" s="37" t="n">
        <f aca="false">-(SUMIFS('TB Actual'!G$7:G$60,'TB Actual'!$B$7:$B$60,"3520")+SUMIFS('TB Actual'!G$7:G$60,'TB Actual'!$B$7:$B$60,"3610"))</f>
        <v>-25.6</v>
      </c>
      <c r="E20" s="37" t="n">
        <f aca="false">-(SUMIFS('TB Actual'!H$7:H$60,'TB Actual'!$B$7:$B$60,"3520")+SUMIFS('TB Actual'!H$7:H$60,'TB Actual'!$B$7:$B$60,"3610"))</f>
        <v>-30.6</v>
      </c>
      <c r="F20" s="37" t="n">
        <f aca="false">-(SUMIFS('TB Actual'!I$7:I$60,'TB Actual'!$B$7:$B$60,"3520")+SUMIFS('TB Actual'!I$7:I$60,'TB Actual'!$B$7:$B$60,"3610"))</f>
        <v>-59</v>
      </c>
      <c r="G20" s="37" t="n">
        <f aca="false">-(SUMIFS('TB Actual'!J$7:J$60,'TB Actual'!$B$7:$B$60,"3520")+SUMIFS('TB Actual'!J$7:J$60,'TB Actual'!$B$7:$B$60,"3610"))</f>
        <v>-33.2</v>
      </c>
      <c r="H20" s="37" t="n">
        <f aca="false">-(SUMIFS('TB Actual'!K$7:K$60,'TB Actual'!$B$7:$B$60,"3520")+SUMIFS('TB Actual'!K$7:K$60,'TB Actual'!$B$7:$B$60,"3610"))</f>
        <v>-37</v>
      </c>
      <c r="I20" s="37" t="n">
        <f aca="false">-(SUMIFS('TB Actual'!L$7:L$60,'TB Actual'!$B$7:$B$60,"3520")+SUMIFS('TB Actual'!L$7:L$60,'TB Actual'!$B$7:$B$60,"3610"))</f>
        <v>-30.2</v>
      </c>
      <c r="J20" s="37" t="n">
        <f aca="false">-(SUMIFS('TB Actual'!M$7:M$60,'TB Actual'!$B$7:$B$60,"3520")+SUMIFS('TB Actual'!M$7:M$60,'TB Actual'!$B$7:$B$60,"3610"))</f>
        <v>40.1</v>
      </c>
      <c r="K20" s="37" t="n">
        <f aca="false">-(SUMIFS('TB Actual'!N$7:N$60,'TB Actual'!$B$7:$B$60,"3520")+SUMIFS('TB Actual'!N$7:N$60,'TB Actual'!$B$7:$B$60,"3610"))</f>
        <v>102.7</v>
      </c>
      <c r="L20" s="37" t="n">
        <f aca="false">-(SUMIFS('TB Actual'!O$7:O$60,'TB Actual'!$B$7:$B$60,"3520")+SUMIFS('TB Actual'!O$7:O$60,'TB Actual'!$B$7:$B$60,"3610"))</f>
        <v>77.6</v>
      </c>
      <c r="M20" s="37" t="n">
        <f aca="false">-(SUMIFS('TB Actual'!P$7:P$60,'TB Actual'!$B$7:$B$60,"3520")+SUMIFS('TB Actual'!P$7:P$60,'TB Actual'!$B$7:$B$60,"3610"))</f>
        <v>20.7</v>
      </c>
      <c r="N20" s="37" t="n">
        <f aca="false">-(SUMIFS('TB Actual'!Q$7:Q$60,'TB Actual'!$B$7:$B$60,"3520")+SUMIFS('TB Actual'!Q$7:Q$60,'TB Actual'!$B$7:$B$60,"3610"))</f>
        <v>-58.9</v>
      </c>
      <c r="O20" s="38" t="n">
        <f aca="false">SUM(C20:N20)</f>
        <v>-33.4</v>
      </c>
    </row>
    <row r="21" customFormat="false" ht="15" hidden="false" customHeight="false" outlineLevel="0" collapsed="false">
      <c r="B21" s="36" t="s">
        <v>388</v>
      </c>
      <c r="C21" s="37" t="n">
        <f aca="false">-(SUMIFS('TB Actual'!F$7:F$60,'TB Actual'!$B$7:$B$60,"3510"))</f>
        <v>-28.6</v>
      </c>
      <c r="D21" s="37" t="n">
        <f aca="false">-(SUMIFS('TB Actual'!G$7:G$60,'TB Actual'!$B$7:$B$60,"3510"))</f>
        <v>40.4</v>
      </c>
      <c r="E21" s="37" t="n">
        <f aca="false">-(SUMIFS('TB Actual'!H$7:H$60,'TB Actual'!$B$7:$B$60,"3510"))</f>
        <v>32</v>
      </c>
      <c r="F21" s="37" t="n">
        <f aca="false">-(SUMIFS('TB Actual'!I$7:I$60,'TB Actual'!$B$7:$B$60,"3510"))</f>
        <v>-54.5</v>
      </c>
      <c r="G21" s="37" t="n">
        <f aca="false">-(SUMIFS('TB Actual'!J$7:J$60,'TB Actual'!$B$7:$B$60,"3510"))</f>
        <v>19.1</v>
      </c>
      <c r="H21" s="37" t="n">
        <f aca="false">-(SUMIFS('TB Actual'!K$7:K$60,'TB Actual'!$B$7:$B$60,"3510"))</f>
        <v>8.3</v>
      </c>
      <c r="I21" s="37" t="n">
        <f aca="false">-(SUMIFS('TB Actual'!L$7:L$60,'TB Actual'!$B$7:$B$60,"3510"))</f>
        <v>-68.9</v>
      </c>
      <c r="J21" s="37" t="n">
        <f aca="false">-(SUMIFS('TB Actual'!M$7:M$60,'TB Actual'!$B$7:$B$60,"3510"))</f>
        <v>12.9</v>
      </c>
      <c r="K21" s="37" t="n">
        <f aca="false">-(SUMIFS('TB Actual'!N$7:N$60,'TB Actual'!$B$7:$B$60,"3510"))</f>
        <v>22.1</v>
      </c>
      <c r="L21" s="37" t="n">
        <f aca="false">-(SUMIFS('TB Actual'!O$7:O$60,'TB Actual'!$B$7:$B$60,"3510"))</f>
        <v>-42.6</v>
      </c>
      <c r="M21" s="37" t="n">
        <f aca="false">-(SUMIFS('TB Actual'!P$7:P$60,'TB Actual'!$B$7:$B$60,"3510"))</f>
        <v>34.7</v>
      </c>
      <c r="N21" s="37" t="n">
        <f aca="false">-(SUMIFS('TB Actual'!Q$7:Q$60,'TB Actual'!$B$7:$B$60,"3510"))</f>
        <v>1.3</v>
      </c>
      <c r="O21" s="38" t="n">
        <f aca="false">SUM(C21:N21)</f>
        <v>-23.8</v>
      </c>
    </row>
    <row r="22" customFormat="false" ht="15" hidden="false" customHeight="false" outlineLevel="0" collapsed="false">
      <c r="B22" s="36" t="s">
        <v>389</v>
      </c>
      <c r="C22" s="37" t="n">
        <f aca="false">-(SUMIFS('TB Actual'!F$7:F$60,'TB Actual'!$B$7:$B$60,"1410"))</f>
        <v>-2.1</v>
      </c>
      <c r="D22" s="37" t="n">
        <f aca="false">-(SUMIFS('TB Actual'!G$7:G$60,'TB Actual'!$B$7:$B$60,"1410"))</f>
        <v>-2.1</v>
      </c>
      <c r="E22" s="37" t="n">
        <f aca="false">-(SUMIFS('TB Actual'!H$7:H$60,'TB Actual'!$B$7:$B$60,"1410"))</f>
        <v>-2.1</v>
      </c>
      <c r="F22" s="37" t="n">
        <f aca="false">-(SUMIFS('TB Actual'!I$7:I$60,'TB Actual'!$B$7:$B$60,"1410"))</f>
        <v>-2.1</v>
      </c>
      <c r="G22" s="37" t="n">
        <f aca="false">-(SUMIFS('TB Actual'!J$7:J$60,'TB Actual'!$B$7:$B$60,"1410"))</f>
        <v>-2.1</v>
      </c>
      <c r="H22" s="37" t="n">
        <f aca="false">-(SUMIFS('TB Actual'!K$7:K$60,'TB Actual'!$B$7:$B$60,"1410"))</f>
        <v>-2.1</v>
      </c>
      <c r="I22" s="37" t="n">
        <f aca="false">-(SUMIFS('TB Actual'!L$7:L$60,'TB Actual'!$B$7:$B$60,"1410"))</f>
        <v>-2.1</v>
      </c>
      <c r="J22" s="37" t="n">
        <f aca="false">-(SUMIFS('TB Actual'!M$7:M$60,'TB Actual'!$B$7:$B$60,"1410"))</f>
        <v>-2.1</v>
      </c>
      <c r="K22" s="37" t="n">
        <f aca="false">-(SUMIFS('TB Actual'!N$7:N$60,'TB Actual'!$B$7:$B$60,"1410"))</f>
        <v>-2.1</v>
      </c>
      <c r="L22" s="37" t="n">
        <f aca="false">-(SUMIFS('TB Actual'!O$7:O$60,'TB Actual'!$B$7:$B$60,"1410"))</f>
        <v>-2.1</v>
      </c>
      <c r="M22" s="37" t="n">
        <f aca="false">-(SUMIFS('TB Actual'!P$7:P$60,'TB Actual'!$B$7:$B$60,"1410"))</f>
        <v>-2.1</v>
      </c>
      <c r="N22" s="37" t="n">
        <f aca="false">-(SUMIFS('TB Actual'!Q$7:Q$60,'TB Actual'!$B$7:$B$60,"1410"))</f>
        <v>-2.1</v>
      </c>
      <c r="O22" s="38" t="n">
        <f aca="false">SUM(C22:N22)</f>
        <v>-25.2</v>
      </c>
    </row>
    <row r="23" customFormat="false" ht="15" hidden="false" customHeight="false" outlineLevel="0" collapsed="false">
      <c r="B23" s="39" t="s">
        <v>390</v>
      </c>
      <c r="C23" s="40" t="n">
        <f aca="false">SUM(C9:C22)</f>
        <v>-283.9</v>
      </c>
      <c r="D23" s="40" t="n">
        <f aca="false">SUM(D9:D22)</f>
        <v>-283.5</v>
      </c>
      <c r="E23" s="40" t="n">
        <f aca="false">SUM(E9:E22)</f>
        <v>307</v>
      </c>
      <c r="F23" s="40" t="n">
        <f aca="false">SUM(F9:F22)</f>
        <v>1017.3</v>
      </c>
      <c r="G23" s="40" t="n">
        <f aca="false">SUM(G9:G22)</f>
        <v>1061</v>
      </c>
      <c r="H23" s="40" t="n">
        <f aca="false">SUM(H9:H22)</f>
        <v>646.1</v>
      </c>
      <c r="I23" s="40" t="n">
        <f aca="false">SUM(I9:I22)</f>
        <v>725.5</v>
      </c>
      <c r="J23" s="40" t="n">
        <f aca="false">SUM(J9:J22)</f>
        <v>686.6</v>
      </c>
      <c r="K23" s="40" t="n">
        <f aca="false">SUM(K9:K22)</f>
        <v>168.9</v>
      </c>
      <c r="L23" s="40" t="n">
        <f aca="false">SUM(L9:L22)</f>
        <v>-1.50000000000089</v>
      </c>
      <c r="M23" s="40" t="n">
        <f aca="false">SUM(M9:M22)</f>
        <v>74.2000000000005</v>
      </c>
      <c r="N23" s="40" t="n">
        <f aca="false">SUM(N9:N22)</f>
        <v>-229.1</v>
      </c>
      <c r="O23" s="40" t="n">
        <f aca="false">SUM(O9:O22)</f>
        <v>3888.6</v>
      </c>
    </row>
    <row r="25" customFormat="false" ht="15" hidden="false" customHeight="false" outlineLevel="0" collapsed="false">
      <c r="B25" s="11" t="s">
        <v>391</v>
      </c>
    </row>
    <row r="26" customFormat="false" ht="15" hidden="false" customHeight="false" outlineLevel="0" collapsed="false">
      <c r="B26" s="36" t="s">
        <v>392</v>
      </c>
      <c r="C26" s="37" t="n">
        <f aca="false">-(SUMIFS('TB Actual'!F$7:F$60,'TB Actual'!$B$7:$B$60,"1210"))</f>
        <v>-18</v>
      </c>
      <c r="D26" s="37" t="n">
        <f aca="false">-(SUMIFS('TB Actual'!G$7:G$60,'TB Actual'!$B$7:$B$60,"1210"))</f>
        <v>-18</v>
      </c>
      <c r="E26" s="37" t="n">
        <f aca="false">-(SUMIFS('TB Actual'!H$7:H$60,'TB Actual'!$B$7:$B$60,"1210"))</f>
        <v>-18</v>
      </c>
      <c r="F26" s="37" t="n">
        <f aca="false">-(SUMIFS('TB Actual'!I$7:I$60,'TB Actual'!$B$7:$B$60,"1210"))</f>
        <v>-18</v>
      </c>
      <c r="G26" s="37" t="n">
        <f aca="false">-(SUMIFS('TB Actual'!J$7:J$60,'TB Actual'!$B$7:$B$60,"1210"))</f>
        <v>-18</v>
      </c>
      <c r="H26" s="37" t="n">
        <f aca="false">-(SUMIFS('TB Actual'!K$7:K$60,'TB Actual'!$B$7:$B$60,"1210"))</f>
        <v>-18</v>
      </c>
      <c r="I26" s="37" t="n">
        <f aca="false">-(SUMIFS('TB Actual'!L$7:L$60,'TB Actual'!$B$7:$B$60,"1210"))</f>
        <v>-18</v>
      </c>
      <c r="J26" s="37" t="n">
        <f aca="false">-(SUMIFS('TB Actual'!M$7:M$60,'TB Actual'!$B$7:$B$60,"1210"))</f>
        <v>-198</v>
      </c>
      <c r="K26" s="37" t="n">
        <f aca="false">-(SUMIFS('TB Actual'!N$7:N$60,'TB Actual'!$B$7:$B$60,"1210"))</f>
        <v>-18</v>
      </c>
      <c r="L26" s="37" t="n">
        <f aca="false">-(SUMIFS('TB Actual'!O$7:O$60,'TB Actual'!$B$7:$B$60,"1210"))</f>
        <v>-18</v>
      </c>
      <c r="M26" s="37" t="n">
        <f aca="false">-(SUMIFS('TB Actual'!P$7:P$60,'TB Actual'!$B$7:$B$60,"1210"))</f>
        <v>-18</v>
      </c>
      <c r="N26" s="37" t="n">
        <f aca="false">-(SUMIFS('TB Actual'!Q$7:Q$60,'TB Actual'!$B$7:$B$60,"1210"))</f>
        <v>-18</v>
      </c>
      <c r="O26" s="38" t="n">
        <f aca="false">SUM(C26:N26)</f>
        <v>-396</v>
      </c>
    </row>
    <row r="27" customFormat="false" ht="15" hidden="false" customHeight="false" outlineLevel="0" collapsed="false">
      <c r="B27" s="36" t="s">
        <v>393</v>
      </c>
      <c r="C27" s="37" t="n">
        <f aca="false">-(SUMIFS('TB Actual'!F$7:F$60,'TB Actual'!$B$7:$B$60,"1110"))</f>
        <v>-0</v>
      </c>
      <c r="D27" s="37" t="n">
        <f aca="false">-(SUMIFS('TB Actual'!G$7:G$60,'TB Actual'!$B$7:$B$60,"1110"))</f>
        <v>-0</v>
      </c>
      <c r="E27" s="37" t="n">
        <f aca="false">-(SUMIFS('TB Actual'!H$7:H$60,'TB Actual'!$B$7:$B$60,"1110"))</f>
        <v>-0</v>
      </c>
      <c r="F27" s="37" t="n">
        <f aca="false">-(SUMIFS('TB Actual'!I$7:I$60,'TB Actual'!$B$7:$B$60,"1110"))</f>
        <v>-60</v>
      </c>
      <c r="G27" s="37" t="n">
        <f aca="false">-(SUMIFS('TB Actual'!J$7:J$60,'TB Actual'!$B$7:$B$60,"1110"))</f>
        <v>-0</v>
      </c>
      <c r="H27" s="37" t="n">
        <f aca="false">-(SUMIFS('TB Actual'!K$7:K$60,'TB Actual'!$B$7:$B$60,"1110"))</f>
        <v>-0</v>
      </c>
      <c r="I27" s="37" t="n">
        <f aca="false">-(SUMIFS('TB Actual'!L$7:L$60,'TB Actual'!$B$7:$B$60,"1110"))</f>
        <v>-0</v>
      </c>
      <c r="J27" s="37" t="n">
        <f aca="false">-(SUMIFS('TB Actual'!M$7:M$60,'TB Actual'!$B$7:$B$60,"1110"))</f>
        <v>-0</v>
      </c>
      <c r="K27" s="37" t="n">
        <f aca="false">-(SUMIFS('TB Actual'!N$7:N$60,'TB Actual'!$B$7:$B$60,"1110"))</f>
        <v>-0</v>
      </c>
      <c r="L27" s="37" t="n">
        <f aca="false">-(SUMIFS('TB Actual'!O$7:O$60,'TB Actual'!$B$7:$B$60,"1110"))</f>
        <v>-0</v>
      </c>
      <c r="M27" s="37" t="n">
        <f aca="false">-(SUMIFS('TB Actual'!P$7:P$60,'TB Actual'!$B$7:$B$60,"1110"))</f>
        <v>-0</v>
      </c>
      <c r="N27" s="37" t="n">
        <f aca="false">-(SUMIFS('TB Actual'!Q$7:Q$60,'TB Actual'!$B$7:$B$60,"1110"))</f>
        <v>-0</v>
      </c>
      <c r="O27" s="38" t="n">
        <f aca="false">SUM(C27:N27)</f>
        <v>-60</v>
      </c>
    </row>
    <row r="28" customFormat="false" ht="15" hidden="false" customHeight="false" outlineLevel="0" collapsed="false">
      <c r="B28" s="39" t="s">
        <v>394</v>
      </c>
      <c r="C28" s="40" t="n">
        <f aca="false">SUM(C26:C27)</f>
        <v>-18</v>
      </c>
      <c r="D28" s="40" t="n">
        <f aca="false">SUM(D26:D27)</f>
        <v>-18</v>
      </c>
      <c r="E28" s="40" t="n">
        <f aca="false">SUM(E26:E27)</f>
        <v>-18</v>
      </c>
      <c r="F28" s="40" t="n">
        <f aca="false">SUM(F26:F27)</f>
        <v>-78</v>
      </c>
      <c r="G28" s="40" t="n">
        <f aca="false">SUM(G26:G27)</f>
        <v>-18</v>
      </c>
      <c r="H28" s="40" t="n">
        <f aca="false">SUM(H26:H27)</f>
        <v>-18</v>
      </c>
      <c r="I28" s="40" t="n">
        <f aca="false">SUM(I26:I27)</f>
        <v>-18</v>
      </c>
      <c r="J28" s="40" t="n">
        <f aca="false">SUM(J26:J27)</f>
        <v>-198</v>
      </c>
      <c r="K28" s="40" t="n">
        <f aca="false">SUM(K26:K27)</f>
        <v>-18</v>
      </c>
      <c r="L28" s="40" t="n">
        <f aca="false">SUM(L26:L27)</f>
        <v>-18</v>
      </c>
      <c r="M28" s="40" t="n">
        <f aca="false">SUM(M26:M27)</f>
        <v>-18</v>
      </c>
      <c r="N28" s="40" t="n">
        <f aca="false">SUM(N26:N27)</f>
        <v>-18</v>
      </c>
      <c r="O28" s="40" t="n">
        <f aca="false">SUM(O26:O27)</f>
        <v>-456</v>
      </c>
    </row>
    <row r="30" customFormat="false" ht="15" hidden="false" customHeight="false" outlineLevel="0" collapsed="false">
      <c r="B30" s="11" t="s">
        <v>395</v>
      </c>
    </row>
    <row r="31" customFormat="false" ht="15" hidden="false" customHeight="false" outlineLevel="0" collapsed="false">
      <c r="B31" s="36" t="s">
        <v>396</v>
      </c>
      <c r="C31" s="37" t="n">
        <f aca="false">-(SUMIFS('TB Actual'!F$7:F$60,'TB Actual'!$B$7:$B$60,"3410")+SUMIFS('TB Actual'!F$7:F$60,'TB Actual'!$B$7:$B$60,"3420"))</f>
        <v>-0</v>
      </c>
      <c r="D31" s="37" t="n">
        <f aca="false">-(SUMIFS('TB Actual'!G$7:G$60,'TB Actual'!$B$7:$B$60,"3410")+SUMIFS('TB Actual'!G$7:G$60,'TB Actual'!$B$7:$B$60,"3420"))</f>
        <v>-0</v>
      </c>
      <c r="E31" s="37" t="n">
        <f aca="false">-(SUMIFS('TB Actual'!H$7:H$60,'TB Actual'!$B$7:$B$60,"3410")+SUMIFS('TB Actual'!H$7:H$60,'TB Actual'!$B$7:$B$60,"3420"))</f>
        <v>-250</v>
      </c>
      <c r="F31" s="37" t="n">
        <f aca="false">-(SUMIFS('TB Actual'!I$7:I$60,'TB Actual'!$B$7:$B$60,"3410")+SUMIFS('TB Actual'!I$7:I$60,'TB Actual'!$B$7:$B$60,"3420"))</f>
        <v>-0</v>
      </c>
      <c r="G31" s="37" t="n">
        <f aca="false">-(SUMIFS('TB Actual'!J$7:J$60,'TB Actual'!$B$7:$B$60,"3410")+SUMIFS('TB Actual'!J$7:J$60,'TB Actual'!$B$7:$B$60,"3420"))</f>
        <v>-0</v>
      </c>
      <c r="H31" s="37" t="n">
        <f aca="false">-(SUMIFS('TB Actual'!K$7:K$60,'TB Actual'!$B$7:$B$60,"3410")+SUMIFS('TB Actual'!K$7:K$60,'TB Actual'!$B$7:$B$60,"3420"))</f>
        <v>-250</v>
      </c>
      <c r="I31" s="37" t="n">
        <f aca="false">-(SUMIFS('TB Actual'!L$7:L$60,'TB Actual'!$B$7:$B$60,"3410")+SUMIFS('TB Actual'!L$7:L$60,'TB Actual'!$B$7:$B$60,"3420"))</f>
        <v>-0</v>
      </c>
      <c r="J31" s="37" t="n">
        <f aca="false">-(SUMIFS('TB Actual'!M$7:M$60,'TB Actual'!$B$7:$B$60,"3410")+SUMIFS('TB Actual'!M$7:M$60,'TB Actual'!$B$7:$B$60,"3420"))</f>
        <v>-0</v>
      </c>
      <c r="K31" s="37" t="n">
        <f aca="false">-(SUMIFS('TB Actual'!N$7:N$60,'TB Actual'!$B$7:$B$60,"3410")+SUMIFS('TB Actual'!N$7:N$60,'TB Actual'!$B$7:$B$60,"3420"))</f>
        <v>-250</v>
      </c>
      <c r="L31" s="37" t="n">
        <f aca="false">-(SUMIFS('TB Actual'!O$7:O$60,'TB Actual'!$B$7:$B$60,"3410")+SUMIFS('TB Actual'!O$7:O$60,'TB Actual'!$B$7:$B$60,"3420"))</f>
        <v>-0</v>
      </c>
      <c r="M31" s="37" t="n">
        <f aca="false">-(SUMIFS('TB Actual'!P$7:P$60,'TB Actual'!$B$7:$B$60,"3410")+SUMIFS('TB Actual'!P$7:P$60,'TB Actual'!$B$7:$B$60,"3420"))</f>
        <v>-0</v>
      </c>
      <c r="N31" s="37" t="n">
        <f aca="false">-(SUMIFS('TB Actual'!Q$7:Q$60,'TB Actual'!$B$7:$B$60,"3410")+SUMIFS('TB Actual'!Q$7:Q$60,'TB Actual'!$B$7:$B$60,"3420"))</f>
        <v>-250</v>
      </c>
      <c r="O31" s="38" t="n">
        <f aca="false">SUM(C31:N31)</f>
        <v>-1000</v>
      </c>
    </row>
    <row r="32" customFormat="false" ht="15" hidden="false" customHeight="false" outlineLevel="0" collapsed="false">
      <c r="B32" s="36" t="s">
        <v>397</v>
      </c>
      <c r="C32" s="37" t="n">
        <f aca="false">-(SUMIFS('TB Actual'!F$7:F$60,'TB Actual'!$B$7:$B$60,"3310")+SUMIFS('TB Actual'!F$7:F$60,'TB Actual'!$B$7:$B$60,"3320")+SUMIFS('TB Actual'!F$7:F$60,'TB Actual'!$B$7:$B$60,"1310"))</f>
        <v>-45.4</v>
      </c>
      <c r="D32" s="37" t="n">
        <f aca="false">-(SUMIFS('TB Actual'!G$7:G$60,'TB Actual'!$B$7:$B$60,"3310")+SUMIFS('TB Actual'!G$7:G$60,'TB Actual'!$B$7:$B$60,"3320")+SUMIFS('TB Actual'!G$7:G$60,'TB Actual'!$B$7:$B$60,"1310"))</f>
        <v>-45.7</v>
      </c>
      <c r="E32" s="37" t="n">
        <f aca="false">-(SUMIFS('TB Actual'!H$7:H$60,'TB Actual'!$B$7:$B$60,"3310")+SUMIFS('TB Actual'!H$7:H$60,'TB Actual'!$B$7:$B$60,"3320")+SUMIFS('TB Actual'!H$7:H$60,'TB Actual'!$B$7:$B$60,"1310"))</f>
        <v>-45.9</v>
      </c>
      <c r="F32" s="37" t="n">
        <f aca="false">-(SUMIFS('TB Actual'!I$7:I$60,'TB Actual'!$B$7:$B$60,"3310")+SUMIFS('TB Actual'!I$7:I$60,'TB Actual'!$B$7:$B$60,"3320")+SUMIFS('TB Actual'!I$7:I$60,'TB Actual'!$B$7:$B$60,"1310"))</f>
        <v>-46.1</v>
      </c>
      <c r="G32" s="37" t="n">
        <f aca="false">-(SUMIFS('TB Actual'!J$7:J$60,'TB Actual'!$B$7:$B$60,"3310")+SUMIFS('TB Actual'!J$7:J$60,'TB Actual'!$B$7:$B$60,"3320")+SUMIFS('TB Actual'!J$7:J$60,'TB Actual'!$B$7:$B$60,"1310"))</f>
        <v>-46.4</v>
      </c>
      <c r="H32" s="37" t="n">
        <f aca="false">-(SUMIFS('TB Actual'!K$7:K$60,'TB Actual'!$B$7:$B$60,"3310")+SUMIFS('TB Actual'!K$7:K$60,'TB Actual'!$B$7:$B$60,"3320")+SUMIFS('TB Actual'!K$7:K$60,'TB Actual'!$B$7:$B$60,"1310"))</f>
        <v>-46.6</v>
      </c>
      <c r="I32" s="37" t="n">
        <f aca="false">-(SUMIFS('TB Actual'!L$7:L$60,'TB Actual'!$B$7:$B$60,"3310")+SUMIFS('TB Actual'!L$7:L$60,'TB Actual'!$B$7:$B$60,"3320")+SUMIFS('TB Actual'!L$7:L$60,'TB Actual'!$B$7:$B$60,"1310"))</f>
        <v>-46.8</v>
      </c>
      <c r="J32" s="37" t="n">
        <f aca="false">-(SUMIFS('TB Actual'!M$7:M$60,'TB Actual'!$B$7:$B$60,"3310")+SUMIFS('TB Actual'!M$7:M$60,'TB Actual'!$B$7:$B$60,"3320")+SUMIFS('TB Actual'!M$7:M$60,'TB Actual'!$B$7:$B$60,"1310"))</f>
        <v>-47.1</v>
      </c>
      <c r="K32" s="37" t="n">
        <f aca="false">-(SUMIFS('TB Actual'!N$7:N$60,'TB Actual'!$B$7:$B$60,"3310")+SUMIFS('TB Actual'!N$7:N$60,'TB Actual'!$B$7:$B$60,"3320")+SUMIFS('TB Actual'!N$7:N$60,'TB Actual'!$B$7:$B$60,"1310"))</f>
        <v>-47.3</v>
      </c>
      <c r="L32" s="37" t="n">
        <f aca="false">-(SUMIFS('TB Actual'!O$7:O$60,'TB Actual'!$B$7:$B$60,"3310")+SUMIFS('TB Actual'!O$7:O$60,'TB Actual'!$B$7:$B$60,"3320")+SUMIFS('TB Actual'!O$7:O$60,'TB Actual'!$B$7:$B$60,"1310"))</f>
        <v>-47.5</v>
      </c>
      <c r="M32" s="37" t="n">
        <f aca="false">-(SUMIFS('TB Actual'!P$7:P$60,'TB Actual'!$B$7:$B$60,"3310")+SUMIFS('TB Actual'!P$7:P$60,'TB Actual'!$B$7:$B$60,"3320")+SUMIFS('TB Actual'!P$7:P$60,'TB Actual'!$B$7:$B$60,"1310"))</f>
        <v>-46</v>
      </c>
      <c r="N32" s="37" t="n">
        <f aca="false">-(SUMIFS('TB Actual'!Q$7:Q$60,'TB Actual'!$B$7:$B$60,"3310")+SUMIFS('TB Actual'!Q$7:Q$60,'TB Actual'!$B$7:$B$60,"3320")+SUMIFS('TB Actual'!Q$7:Q$60,'TB Actual'!$B$7:$B$60,"1310"))</f>
        <v>-46.2</v>
      </c>
      <c r="O32" s="38" t="n">
        <f aca="false">SUM(C32:N32)</f>
        <v>-557</v>
      </c>
    </row>
    <row r="33" customFormat="false" ht="15" hidden="false" customHeight="false" outlineLevel="0" collapsed="false">
      <c r="B33" s="36" t="s">
        <v>398</v>
      </c>
      <c r="C33" s="37" t="n">
        <f aca="false">-(SUMIFS('TB Actual'!F$7:F$60,'TB Actual'!$B$7:$B$60,"5210"))</f>
        <v>-0</v>
      </c>
      <c r="D33" s="37" t="n">
        <f aca="false">-(SUMIFS('TB Actual'!G$7:G$60,'TB Actual'!$B$7:$B$60,"5210"))</f>
        <v>-0</v>
      </c>
      <c r="E33" s="37" t="n">
        <f aca="false">-(SUMIFS('TB Actual'!H$7:H$60,'TB Actual'!$B$7:$B$60,"5210"))</f>
        <v>-0</v>
      </c>
      <c r="F33" s="37" t="n">
        <f aca="false">-(SUMIFS('TB Actual'!I$7:I$60,'TB Actual'!$B$7:$B$60,"5210"))</f>
        <v>-0</v>
      </c>
      <c r="G33" s="37" t="n">
        <f aca="false">-(SUMIFS('TB Actual'!J$7:J$60,'TB Actual'!$B$7:$B$60,"5210"))</f>
        <v>-0</v>
      </c>
      <c r="H33" s="37" t="n">
        <f aca="false">-(SUMIFS('TB Actual'!K$7:K$60,'TB Actual'!$B$7:$B$60,"5210"))</f>
        <v>-1200</v>
      </c>
      <c r="I33" s="37" t="n">
        <f aca="false">-(SUMIFS('TB Actual'!L$7:L$60,'TB Actual'!$B$7:$B$60,"5210"))</f>
        <v>-0</v>
      </c>
      <c r="J33" s="37" t="n">
        <f aca="false">-(SUMIFS('TB Actual'!M$7:M$60,'TB Actual'!$B$7:$B$60,"5210"))</f>
        <v>-0</v>
      </c>
      <c r="K33" s="37" t="n">
        <f aca="false">-(SUMIFS('TB Actual'!N$7:N$60,'TB Actual'!$B$7:$B$60,"5210"))</f>
        <v>-0</v>
      </c>
      <c r="L33" s="37" t="n">
        <f aca="false">-(SUMIFS('TB Actual'!O$7:O$60,'TB Actual'!$B$7:$B$60,"5210"))</f>
        <v>-0</v>
      </c>
      <c r="M33" s="37" t="n">
        <f aca="false">-(SUMIFS('TB Actual'!P$7:P$60,'TB Actual'!$B$7:$B$60,"5210"))</f>
        <v>-0</v>
      </c>
      <c r="N33" s="37" t="n">
        <f aca="false">-(SUMIFS('TB Actual'!Q$7:Q$60,'TB Actual'!$B$7:$B$60,"5210"))</f>
        <v>-0</v>
      </c>
      <c r="O33" s="38" t="n">
        <f aca="false">SUM(C33:N33)</f>
        <v>-1200</v>
      </c>
    </row>
    <row r="34" customFormat="false" ht="15" hidden="false" customHeight="false" outlineLevel="0" collapsed="false">
      <c r="B34" s="36" t="s">
        <v>399</v>
      </c>
      <c r="C34" s="37" t="n">
        <f aca="false">-(SUMIFS('TB Actual'!F$7:F$60,'TB Actual'!$B$7:$B$60,"5110"))</f>
        <v>-0</v>
      </c>
      <c r="D34" s="37" t="n">
        <f aca="false">-(SUMIFS('TB Actual'!G$7:G$60,'TB Actual'!$B$7:$B$60,"5110"))</f>
        <v>-0</v>
      </c>
      <c r="E34" s="37" t="n">
        <f aca="false">-(SUMIFS('TB Actual'!H$7:H$60,'TB Actual'!$B$7:$B$60,"5110"))</f>
        <v>-0</v>
      </c>
      <c r="F34" s="37" t="n">
        <f aca="false">-(SUMIFS('TB Actual'!I$7:I$60,'TB Actual'!$B$7:$B$60,"5110"))</f>
        <v>-0</v>
      </c>
      <c r="G34" s="37" t="n">
        <f aca="false">-(SUMIFS('TB Actual'!J$7:J$60,'TB Actual'!$B$7:$B$60,"5110"))</f>
        <v>-0</v>
      </c>
      <c r="H34" s="37" t="n">
        <f aca="false">-(SUMIFS('TB Actual'!K$7:K$60,'TB Actual'!$B$7:$B$60,"5110"))</f>
        <v>-0</v>
      </c>
      <c r="I34" s="37" t="n">
        <f aca="false">-(SUMIFS('TB Actual'!L$7:L$60,'TB Actual'!$B$7:$B$60,"5110"))</f>
        <v>-0</v>
      </c>
      <c r="J34" s="37" t="n">
        <f aca="false">-(SUMIFS('TB Actual'!M$7:M$60,'TB Actual'!$B$7:$B$60,"5110"))</f>
        <v>-0</v>
      </c>
      <c r="K34" s="37" t="n">
        <f aca="false">-(SUMIFS('TB Actual'!N$7:N$60,'TB Actual'!$B$7:$B$60,"5110"))</f>
        <v>-0</v>
      </c>
      <c r="L34" s="37" t="n">
        <f aca="false">-(SUMIFS('TB Actual'!O$7:O$60,'TB Actual'!$B$7:$B$60,"5110"))</f>
        <v>-0</v>
      </c>
      <c r="M34" s="37" t="n">
        <f aca="false">-(SUMIFS('TB Actual'!P$7:P$60,'TB Actual'!$B$7:$B$60,"5110"))</f>
        <v>-0</v>
      </c>
      <c r="N34" s="37" t="n">
        <f aca="false">-(SUMIFS('TB Actual'!Q$7:Q$60,'TB Actual'!$B$7:$B$60,"5110"))</f>
        <v>-0</v>
      </c>
      <c r="O34" s="38" t="n">
        <f aca="false">SUM(C34:N34)</f>
        <v>0</v>
      </c>
    </row>
    <row r="35" customFormat="false" ht="15" hidden="false" customHeight="false" outlineLevel="0" collapsed="false">
      <c r="B35" s="39" t="s">
        <v>400</v>
      </c>
      <c r="C35" s="40" t="n">
        <f aca="false">SUM(C31:C34)</f>
        <v>-45.4</v>
      </c>
      <c r="D35" s="40" t="n">
        <f aca="false">SUM(D31:D34)</f>
        <v>-45.7</v>
      </c>
      <c r="E35" s="40" t="n">
        <f aca="false">SUM(E31:E34)</f>
        <v>-295.9</v>
      </c>
      <c r="F35" s="40" t="n">
        <f aca="false">SUM(F31:F34)</f>
        <v>-46.1</v>
      </c>
      <c r="G35" s="40" t="n">
        <f aca="false">SUM(G31:G34)</f>
        <v>-46.4</v>
      </c>
      <c r="H35" s="40" t="n">
        <f aca="false">SUM(H31:H34)</f>
        <v>-1496.6</v>
      </c>
      <c r="I35" s="40" t="n">
        <f aca="false">SUM(I31:I34)</f>
        <v>-46.8</v>
      </c>
      <c r="J35" s="40" t="n">
        <f aca="false">SUM(J31:J34)</f>
        <v>-47.1</v>
      </c>
      <c r="K35" s="40" t="n">
        <f aca="false">SUM(K31:K34)</f>
        <v>-297.3</v>
      </c>
      <c r="L35" s="40" t="n">
        <f aca="false">SUM(L31:L34)</f>
        <v>-47.5</v>
      </c>
      <c r="M35" s="40" t="n">
        <f aca="false">SUM(M31:M34)</f>
        <v>-46</v>
      </c>
      <c r="N35" s="40" t="n">
        <f aca="false">SUM(N31:N34)</f>
        <v>-296.2</v>
      </c>
      <c r="O35" s="40" t="n">
        <f aca="false">SUM(O31:O34)</f>
        <v>-2757</v>
      </c>
    </row>
    <row r="37" customFormat="false" ht="15" hidden="false" customHeight="false" outlineLevel="0" collapsed="false">
      <c r="B37" s="39" t="s">
        <v>401</v>
      </c>
      <c r="C37" s="40" t="n">
        <f aca="false">C23+C28+C35</f>
        <v>-347.3</v>
      </c>
      <c r="D37" s="40" t="n">
        <f aca="false">D23+D28+D35</f>
        <v>-347.2</v>
      </c>
      <c r="E37" s="40" t="n">
        <f aca="false">E23+E28+E35</f>
        <v>-6.90000000000021</v>
      </c>
      <c r="F37" s="40" t="n">
        <f aca="false">F23+F28+F35</f>
        <v>893.2</v>
      </c>
      <c r="G37" s="40" t="n">
        <f aca="false">G23+G28+G35</f>
        <v>996.6</v>
      </c>
      <c r="H37" s="40" t="n">
        <f aca="false">H23+H28+H35</f>
        <v>-868.5</v>
      </c>
      <c r="I37" s="40" t="n">
        <f aca="false">I23+I28+I35</f>
        <v>660.7</v>
      </c>
      <c r="J37" s="40" t="n">
        <f aca="false">J23+J28+J35</f>
        <v>441.5</v>
      </c>
      <c r="K37" s="40" t="n">
        <f aca="false">K23+K28+K35</f>
        <v>-146.4</v>
      </c>
      <c r="L37" s="40" t="n">
        <f aca="false">L23+L28+L35</f>
        <v>-67.0000000000009</v>
      </c>
      <c r="M37" s="40" t="n">
        <f aca="false">M23+M28+M35</f>
        <v>10.2000000000005</v>
      </c>
      <c r="N37" s="40" t="n">
        <f aca="false">N23+N28+N35</f>
        <v>-543.3</v>
      </c>
      <c r="O37" s="40" t="n">
        <f aca="false">O23+O28+O35</f>
        <v>675.600000000001</v>
      </c>
    </row>
    <row r="39" customFormat="false" ht="15" hidden="false" customHeight="false" outlineLevel="0" collapsed="false">
      <c r="B39" s="47" t="s">
        <v>402</v>
      </c>
      <c r="C39" s="37" t="n">
        <f aca="false">'Balance Sheet'!C19</f>
        <v>2950</v>
      </c>
      <c r="D39" s="43" t="n">
        <f aca="false">C40</f>
        <v>2602.7</v>
      </c>
      <c r="E39" s="43" t="n">
        <f aca="false">D40</f>
        <v>2255.5</v>
      </c>
      <c r="F39" s="43" t="n">
        <f aca="false">E40</f>
        <v>2248.6</v>
      </c>
      <c r="G39" s="43" t="n">
        <f aca="false">F40</f>
        <v>3141.8</v>
      </c>
      <c r="H39" s="43" t="n">
        <f aca="false">G40</f>
        <v>4138.4</v>
      </c>
      <c r="I39" s="43" t="n">
        <f aca="false">H40</f>
        <v>3269.9</v>
      </c>
      <c r="J39" s="43" t="n">
        <f aca="false">I40</f>
        <v>3930.6</v>
      </c>
      <c r="K39" s="43" t="n">
        <f aca="false">J40</f>
        <v>4372.1</v>
      </c>
      <c r="L39" s="43" t="n">
        <f aca="false">K40</f>
        <v>4225.7</v>
      </c>
      <c r="M39" s="43" t="n">
        <f aca="false">L40</f>
        <v>4158.7</v>
      </c>
      <c r="N39" s="43" t="n">
        <f aca="false">M40</f>
        <v>4168.9</v>
      </c>
      <c r="O39" s="38" t="n">
        <f aca="false">C39</f>
        <v>2950</v>
      </c>
    </row>
    <row r="40" customFormat="false" ht="15" hidden="false" customHeight="false" outlineLevel="0" collapsed="false">
      <c r="B40" s="48" t="s">
        <v>403</v>
      </c>
      <c r="C40" s="40" t="n">
        <f aca="false">C39+C37</f>
        <v>2602.7</v>
      </c>
      <c r="D40" s="40" t="n">
        <f aca="false">D39+D37</f>
        <v>2255.5</v>
      </c>
      <c r="E40" s="40" t="n">
        <f aca="false">E39+E37</f>
        <v>2248.6</v>
      </c>
      <c r="F40" s="40" t="n">
        <f aca="false">F39+F37</f>
        <v>3141.8</v>
      </c>
      <c r="G40" s="40" t="n">
        <f aca="false">G39+G37</f>
        <v>4138.4</v>
      </c>
      <c r="H40" s="40" t="n">
        <f aca="false">H39+H37</f>
        <v>3269.9</v>
      </c>
      <c r="I40" s="40" t="n">
        <f aca="false">I39+I37</f>
        <v>3930.6</v>
      </c>
      <c r="J40" s="40" t="n">
        <f aca="false">J39+J37</f>
        <v>4372.1</v>
      </c>
      <c r="K40" s="40" t="n">
        <f aca="false">K39+K37</f>
        <v>4225.7</v>
      </c>
      <c r="L40" s="40" t="n">
        <f aca="false">L39+L37</f>
        <v>4158.7</v>
      </c>
      <c r="M40" s="40" t="n">
        <f aca="false">M39+M37</f>
        <v>4168.9</v>
      </c>
      <c r="N40" s="40" t="n">
        <f aca="false">N39+N37</f>
        <v>3625.6</v>
      </c>
      <c r="O40" s="40" t="n">
        <f aca="false">N40</f>
        <v>3625.6</v>
      </c>
    </row>
    <row r="42" customFormat="false" ht="15" hidden="false" customHeight="false" outlineLevel="0" collapsed="false">
      <c r="B42" s="6" t="s">
        <v>404</v>
      </c>
      <c r="C42" s="35" t="n">
        <f aca="false">ROUND(C40-'Balance Sheet'!D19,6)</f>
        <v>0</v>
      </c>
      <c r="D42" s="35" t="n">
        <f aca="false">ROUND(D40-'Balance Sheet'!E19,6)</f>
        <v>0</v>
      </c>
      <c r="E42" s="35" t="n">
        <f aca="false">ROUND(E40-'Balance Sheet'!F19,6)</f>
        <v>0</v>
      </c>
      <c r="F42" s="35" t="n">
        <f aca="false">ROUND(F40-'Balance Sheet'!G19,6)</f>
        <v>0</v>
      </c>
      <c r="G42" s="35" t="n">
        <f aca="false">ROUND(G40-'Balance Sheet'!H19,6)</f>
        <v>0</v>
      </c>
      <c r="H42" s="35" t="n">
        <f aca="false">ROUND(H40-'Balance Sheet'!I19,6)</f>
        <v>0</v>
      </c>
      <c r="I42" s="35" t="n">
        <f aca="false">ROUND(I40-'Balance Sheet'!J19,6)</f>
        <v>0</v>
      </c>
      <c r="J42" s="35" t="n">
        <f aca="false">ROUND(J40-'Balance Sheet'!K19,6)</f>
        <v>0</v>
      </c>
      <c r="K42" s="35" t="n">
        <f aca="false">ROUND(K40-'Balance Sheet'!L19,6)</f>
        <v>0</v>
      </c>
      <c r="L42" s="35" t="n">
        <f aca="false">ROUND(L40-'Balance Sheet'!M19,6)</f>
        <v>0</v>
      </c>
      <c r="M42" s="35" t="n">
        <f aca="false">ROUND(M40-'Balance Sheet'!N19,6)</f>
        <v>0</v>
      </c>
      <c r="N42" s="35" t="n">
        <f aca="false">ROUND(N40-'Balance Sheet'!O19,6)</f>
        <v>0</v>
      </c>
    </row>
    <row r="44" customFormat="false" ht="15" hidden="false" customHeight="false" outlineLevel="0" collapsed="false">
      <c r="B44" s="13" t="s">
        <v>405</v>
      </c>
    </row>
    <row r="45" customFormat="false" ht="15" hidden="false" customHeight="false" outlineLevel="0" collapsed="false">
      <c r="B45" s="13" t="s">
        <v>406</v>
      </c>
    </row>
  </sheetData>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Danube Consumer Health Kft - FY2025 management pack (synthetic data)&amp;R&amp;8 Page &amp;P of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2026-07-29T22:21:20Z</dcterms:created>
  <dc:creator>openpyxl</dc:creator>
  <dc:description/>
  <dc:language>en-US</dc:language>
  <cp:lastModifiedBy/>
  <dcterms:modified xsi:type="dcterms:W3CDTF">2026-07-29T22:21:24Z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